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codeName="{8C4F1C90-05EB-6A55-5F09-09C24B55AC0B}"/>
  <workbookPr codeName="ThisWorkbook" defaultThemeVersion="124226"/>
  <bookViews>
    <workbookView xWindow="240" yWindow="555" windowWidth="11835" windowHeight="9120" tabRatio="599"/>
  </bookViews>
  <sheets>
    <sheet name="Summary" sheetId="16" r:id="rId1"/>
    <sheet name="Load" sheetId="7" r:id="rId2"/>
    <sheet name="Projectile" sheetId="5" r:id="rId3"/>
    <sheet name="Common_Projectiles" sheetId="2" r:id="rId4"/>
    <sheet name="Truncated_Projectiles" sheetId="13" r:id="rId5"/>
    <sheet name="Case" sheetId="6" r:id="rId6"/>
    <sheet name="Cartridges" sheetId="11" r:id="rId7"/>
    <sheet name="Barrel" sheetId="8" r:id="rId8"/>
    <sheet name="Action" sheetId="10" r:id="rId9"/>
  </sheets>
  <definedNames>
    <definedName name="_xlnm._FilterDatabase" localSheetId="6" hidden="1">Cartridges!$A$1:$Z$118</definedName>
    <definedName name="_xlnm._FilterDatabase" localSheetId="1" hidden="1">Load!#REF!</definedName>
    <definedName name="_xlnm._FilterDatabase" localSheetId="0" hidden="1">Summary!$A$14:$C$29</definedName>
  </definedNames>
  <calcPr calcId="145621"/>
</workbook>
</file>

<file path=xl/calcChain.xml><?xml version="1.0" encoding="utf-8"?>
<calcChain xmlns="http://schemas.openxmlformats.org/spreadsheetml/2006/main">
  <c r="P10" i="7" l="1"/>
  <c r="L9" i="7"/>
  <c r="F29" i="16" l="1"/>
  <c r="U3" i="6" s="1"/>
  <c r="F28" i="16"/>
  <c r="F27" i="16"/>
  <c r="F26" i="16"/>
  <c r="F25" i="16"/>
  <c r="F24" i="16"/>
  <c r="F23" i="16"/>
  <c r="F22" i="16"/>
  <c r="G21" i="16"/>
  <c r="U2" i="6" s="1"/>
  <c r="G20" i="16"/>
  <c r="C29" i="6" s="1"/>
  <c r="U3" i="5" s="1"/>
  <c r="F20" i="16"/>
  <c r="B29" i="6" s="1"/>
  <c r="G19" i="16"/>
  <c r="K10" i="5" s="1"/>
  <c r="F19" i="16"/>
  <c r="J10" i="5" s="1"/>
  <c r="F18" i="16"/>
  <c r="J1" i="6" s="1"/>
  <c r="F17" i="16"/>
  <c r="B2" i="6" s="1"/>
  <c r="B13" i="7" s="1"/>
  <c r="F16" i="16"/>
  <c r="F2" i="6" s="1"/>
  <c r="F15" i="16"/>
  <c r="F1" i="6" s="1"/>
  <c r="F14" i="16"/>
  <c r="B4" i="6" s="1"/>
  <c r="J6" i="16" s="1"/>
  <c r="F11" i="16"/>
  <c r="J9" i="5" s="1"/>
  <c r="F10" i="16"/>
  <c r="N1" i="5" s="1"/>
  <c r="F9" i="16"/>
  <c r="J1" i="5" s="1"/>
  <c r="F8" i="16"/>
  <c r="F1" i="5" s="1"/>
  <c r="F7" i="16"/>
  <c r="B9" i="5" s="1"/>
  <c r="E2" i="16"/>
  <c r="U17" i="16" s="1"/>
  <c r="U1" i="6"/>
  <c r="B18" i="7"/>
  <c r="B22" i="7"/>
  <c r="B23" i="10"/>
  <c r="B24" i="10" s="1"/>
  <c r="B20" i="10"/>
  <c r="B21" i="10"/>
  <c r="F6" i="5"/>
  <c r="F18" i="2" s="1"/>
  <c r="N17" i="13"/>
  <c r="F5" i="5"/>
  <c r="J5" i="5" s="1"/>
  <c r="N5" i="5" s="1"/>
  <c r="B22" i="10"/>
  <c r="J6" i="5"/>
  <c r="J17" i="13"/>
  <c r="N3" i="6"/>
  <c r="F17" i="13" l="1"/>
  <c r="R18" i="2"/>
  <c r="V17" i="2"/>
  <c r="B17" i="13"/>
  <c r="P6" i="7"/>
  <c r="T7" i="7" s="1"/>
  <c r="B11" i="7"/>
  <c r="D11" i="7" s="1"/>
  <c r="P19" i="7"/>
  <c r="H7" i="7"/>
  <c r="T9" i="7"/>
  <c r="B28" i="7"/>
  <c r="D28" i="7" s="1"/>
  <c r="H8" i="7"/>
  <c r="F1" i="8"/>
  <c r="L10" i="7"/>
  <c r="F2" i="8"/>
  <c r="F11" i="8" s="1"/>
  <c r="F13" i="8" s="1"/>
  <c r="B19" i="6"/>
  <c r="B37" i="8"/>
  <c r="N15" i="5"/>
  <c r="N12" i="5"/>
  <c r="F33" i="2" s="1"/>
  <c r="D14" i="7"/>
  <c r="D13" i="7" s="1"/>
  <c r="B11" i="10"/>
  <c r="B12" i="10" s="1"/>
  <c r="B3" i="6"/>
  <c r="F8" i="5"/>
  <c r="B61" i="6"/>
  <c r="J26" i="16" s="1"/>
  <c r="B24" i="6"/>
  <c r="J24" i="16"/>
  <c r="B17" i="8"/>
  <c r="L6" i="7"/>
  <c r="B47" i="5"/>
  <c r="F29" i="2" s="1"/>
  <c r="F10" i="5"/>
  <c r="AE9" i="7"/>
  <c r="J18" i="5"/>
  <c r="F13" i="5"/>
  <c r="N4" i="6"/>
  <c r="P14" i="7" l="1"/>
  <c r="J22" i="5"/>
  <c r="J23" i="5" s="1"/>
  <c r="F24" i="5"/>
  <c r="F47" i="5" s="1"/>
  <c r="B1" i="7"/>
  <c r="B18" i="8"/>
  <c r="B19" i="8" s="1"/>
  <c r="B32" i="8"/>
  <c r="J1" i="8"/>
  <c r="B30" i="8" s="1"/>
  <c r="B29" i="8"/>
  <c r="B33" i="8"/>
  <c r="B31" i="8"/>
  <c r="F35" i="5"/>
  <c r="F20" i="5"/>
  <c r="N17" i="5"/>
  <c r="N22" i="5"/>
  <c r="N24" i="2"/>
  <c r="V21" i="2"/>
  <c r="V28" i="2" s="1"/>
  <c r="B31" i="13"/>
  <c r="J20" i="5"/>
  <c r="J19" i="5"/>
  <c r="V27" i="2"/>
  <c r="R29" i="2"/>
  <c r="V46" i="2"/>
  <c r="N44" i="2"/>
  <c r="F43" i="5"/>
  <c r="F69" i="2" s="1"/>
  <c r="F52" i="2" s="1"/>
  <c r="N36" i="13"/>
  <c r="N27" i="2"/>
  <c r="AE1" i="7"/>
  <c r="B36" i="13"/>
  <c r="R33" i="2"/>
  <c r="F38" i="13"/>
  <c r="J37" i="13"/>
  <c r="B26" i="13"/>
  <c r="F14" i="5"/>
  <c r="B36" i="8" l="1"/>
  <c r="B34" i="8" s="1"/>
  <c r="F36" i="5"/>
  <c r="J21" i="5"/>
  <c r="B13" i="8"/>
  <c r="J16" i="5"/>
  <c r="N40" i="5"/>
  <c r="N39" i="5" s="1"/>
  <c r="N43" i="2" s="1"/>
  <c r="B30" i="13"/>
  <c r="J32" i="13"/>
  <c r="F32" i="13"/>
  <c r="N31" i="13"/>
  <c r="N30" i="13"/>
  <c r="J31" i="13"/>
  <c r="F31" i="13"/>
  <c r="R54" i="2"/>
  <c r="R55" i="2" s="1"/>
  <c r="J38" i="5"/>
  <c r="F51" i="2" s="1"/>
  <c r="N18" i="5"/>
  <c r="N41" i="5"/>
  <c r="F11" i="5"/>
  <c r="F39" i="2" l="1"/>
  <c r="B38" i="8"/>
  <c r="G9" i="5"/>
  <c r="F33" i="5"/>
  <c r="B33" i="13"/>
  <c r="N21" i="5"/>
  <c r="J11" i="5"/>
  <c r="J17" i="5"/>
  <c r="J15" i="5" s="1"/>
  <c r="F25" i="2" s="1"/>
  <c r="B24" i="2"/>
  <c r="B52" i="13"/>
  <c r="J30" i="2"/>
  <c r="F12" i="5"/>
  <c r="F25" i="5"/>
  <c r="AF9" i="7" l="1"/>
  <c r="AF5" i="7"/>
  <c r="P8" i="7" s="1"/>
  <c r="F34" i="5"/>
  <c r="F9" i="5"/>
  <c r="F19" i="5" s="1"/>
  <c r="AF6" i="7"/>
  <c r="AF4" i="7"/>
  <c r="AF8" i="7"/>
  <c r="G32" i="5"/>
  <c r="AF7" i="7"/>
  <c r="AF3" i="7"/>
  <c r="J2" i="5"/>
  <c r="B19" i="5"/>
  <c r="B18" i="6"/>
  <c r="J14" i="5"/>
  <c r="B27" i="13"/>
  <c r="B38" i="13" s="1"/>
  <c r="N27" i="13"/>
  <c r="R25" i="2"/>
  <c r="R35" i="2" s="1"/>
  <c r="F28" i="13"/>
  <c r="V23" i="2"/>
  <c r="J28" i="13"/>
  <c r="J39" i="2"/>
  <c r="J31" i="5"/>
  <c r="J36" i="5" s="1"/>
  <c r="J12" i="5"/>
  <c r="J32" i="5" s="1"/>
  <c r="J13" i="5"/>
  <c r="F55" i="13"/>
  <c r="J57" i="13"/>
  <c r="J58" i="13" s="1"/>
  <c r="V72" i="2"/>
  <c r="V48" i="2"/>
  <c r="V70" i="2" s="1"/>
  <c r="N24" i="5"/>
  <c r="B21" i="13"/>
  <c r="B35" i="13" s="1"/>
  <c r="J41" i="2"/>
  <c r="F37" i="5"/>
  <c r="J25" i="2"/>
  <c r="B20" i="2"/>
  <c r="F54" i="2"/>
  <c r="N39" i="2"/>
  <c r="F42" i="2"/>
  <c r="F40" i="2"/>
  <c r="J24" i="5"/>
  <c r="N22" i="2"/>
  <c r="B12" i="8"/>
  <c r="R42" i="2"/>
  <c r="P18" i="7" l="1"/>
  <c r="O24" i="7" s="1"/>
  <c r="S6" i="7" s="1"/>
  <c r="F53" i="2"/>
  <c r="F26" i="2"/>
  <c r="F64" i="2"/>
  <c r="F43" i="2"/>
  <c r="F47" i="2" s="1"/>
  <c r="F41" i="2"/>
  <c r="V24" i="2"/>
  <c r="F15" i="5"/>
  <c r="F32" i="5"/>
  <c r="R26" i="2"/>
  <c r="V39" i="2"/>
  <c r="J30" i="5"/>
  <c r="R41" i="2"/>
  <c r="R48" i="2" s="1"/>
  <c r="J45" i="5"/>
  <c r="J27" i="5"/>
  <c r="J33" i="5"/>
  <c r="J41" i="5" s="1"/>
  <c r="J40" i="5"/>
  <c r="V60" i="2"/>
  <c r="V40" i="2"/>
  <c r="F15" i="6"/>
  <c r="N13" i="5"/>
  <c r="N25" i="5"/>
  <c r="N43" i="5"/>
  <c r="N38" i="13"/>
  <c r="J39" i="13"/>
  <c r="N35" i="13"/>
  <c r="J61" i="13"/>
  <c r="J36" i="13"/>
  <c r="V31" i="2"/>
  <c r="V16" i="2"/>
  <c r="N6" i="5"/>
  <c r="N9" i="5" s="1"/>
  <c r="F17" i="2" s="1"/>
  <c r="F26" i="5"/>
  <c r="V47" i="2"/>
  <c r="F72" i="2"/>
  <c r="F21" i="5"/>
  <c r="R57" i="2"/>
  <c r="B22" i="8"/>
  <c r="F42" i="5"/>
  <c r="V50" i="2"/>
  <c r="O25" i="7" l="1"/>
  <c r="F32" i="2"/>
  <c r="P7" i="7"/>
  <c r="B27" i="5"/>
  <c r="F35" i="2"/>
  <c r="R44" i="2"/>
  <c r="F19" i="2"/>
  <c r="F44" i="2"/>
  <c r="F48" i="2" s="1"/>
  <c r="F46" i="2"/>
  <c r="B10" i="8"/>
  <c r="B11" i="8"/>
  <c r="B37" i="13"/>
  <c r="N37" i="13" s="1"/>
  <c r="F22" i="5"/>
  <c r="F23" i="5" s="1"/>
  <c r="V29" i="2"/>
  <c r="V74" i="2" s="1"/>
  <c r="R32" i="2"/>
  <c r="R19" i="2"/>
  <c r="V18" i="2"/>
  <c r="V62" i="2" s="1"/>
  <c r="R43" i="2"/>
  <c r="V61" i="2" s="1"/>
  <c r="R56" i="2"/>
  <c r="V73" i="2" s="1"/>
  <c r="F38" i="5"/>
  <c r="N38" i="2"/>
  <c r="J43" i="2"/>
  <c r="B40" i="13"/>
  <c r="N40" i="13" s="1"/>
  <c r="J39" i="5"/>
  <c r="V71" i="2"/>
  <c r="N36" i="5"/>
  <c r="R17" i="2"/>
  <c r="N33" i="5"/>
  <c r="F63" i="2" s="1"/>
  <c r="F66" i="2" s="1"/>
  <c r="B16" i="13"/>
  <c r="N20" i="5"/>
  <c r="F15" i="2" s="1"/>
  <c r="N10" i="5"/>
  <c r="V58" i="2"/>
  <c r="V43" i="2"/>
  <c r="V59" i="2"/>
  <c r="V41" i="2"/>
  <c r="V44" i="2" s="1"/>
  <c r="V51" i="2" s="1"/>
  <c r="V38" i="2"/>
  <c r="V42" i="2" s="1"/>
  <c r="V20" i="2"/>
  <c r="V15" i="2"/>
  <c r="V22" i="2" s="1"/>
  <c r="AA9" i="7" s="1"/>
  <c r="N46" i="2"/>
  <c r="J28" i="2"/>
  <c r="N16" i="5"/>
  <c r="J43" i="5"/>
  <c r="F44" i="5"/>
  <c r="V30" i="2"/>
  <c r="F21" i="2" l="1"/>
  <c r="F16" i="2"/>
  <c r="F24" i="2" s="1"/>
  <c r="F31" i="2" s="1"/>
  <c r="F62" i="2"/>
  <c r="F65" i="2" s="1"/>
  <c r="F68" i="2" s="1"/>
  <c r="F67" i="2"/>
  <c r="V25" i="2"/>
  <c r="V26" i="2" s="1"/>
  <c r="AB9" i="7" s="1"/>
  <c r="F27" i="2"/>
  <c r="F49" i="2" s="1"/>
  <c r="B25" i="13"/>
  <c r="N25" i="13" s="1"/>
  <c r="F39" i="13"/>
  <c r="F40" i="13" s="1"/>
  <c r="J38" i="13"/>
  <c r="J59" i="13" s="1"/>
  <c r="B47" i="13"/>
  <c r="F50" i="13" s="1"/>
  <c r="R27" i="2"/>
  <c r="R51" i="2" s="1"/>
  <c r="F18" i="5"/>
  <c r="F16" i="5" s="1"/>
  <c r="V67" i="2"/>
  <c r="F43" i="13"/>
  <c r="J41" i="13" s="1"/>
  <c r="R49" i="2"/>
  <c r="R50" i="2"/>
  <c r="V66" i="2"/>
  <c r="B25" i="2"/>
  <c r="J31" i="2"/>
  <c r="J44" i="5"/>
  <c r="J42" i="5"/>
  <c r="V84" i="2"/>
  <c r="B22" i="13"/>
  <c r="N14" i="5"/>
  <c r="V45" i="2"/>
  <c r="V49" i="2"/>
  <c r="V64" i="2"/>
  <c r="B15" i="13"/>
  <c r="N34" i="5"/>
  <c r="N11" i="5"/>
  <c r="J34" i="5"/>
  <c r="N21" i="2"/>
  <c r="R40" i="2"/>
  <c r="R47" i="2" s="1"/>
  <c r="B20" i="13"/>
  <c r="R15" i="2"/>
  <c r="V65" i="2"/>
  <c r="N16" i="13"/>
  <c r="F16" i="13"/>
  <c r="J16" i="13"/>
  <c r="J26" i="2"/>
  <c r="F45" i="5"/>
  <c r="F29" i="5"/>
  <c r="F70" i="2"/>
  <c r="N19" i="5"/>
  <c r="B22" i="2"/>
  <c r="F36" i="2" l="1"/>
  <c r="F20" i="13"/>
  <c r="F51" i="13" s="1"/>
  <c r="F54" i="13" s="1"/>
  <c r="F56" i="13" s="1"/>
  <c r="F36" i="13" s="1"/>
  <c r="F41" i="13" s="1"/>
  <c r="F20" i="2"/>
  <c r="F22" i="2"/>
  <c r="F23" i="2"/>
  <c r="F28" i="2" s="1"/>
  <c r="F26" i="13"/>
  <c r="J47" i="13"/>
  <c r="J26" i="13"/>
  <c r="B19" i="13"/>
  <c r="B48" i="13" s="1"/>
  <c r="B51" i="13" s="1"/>
  <c r="B53" i="13" s="1"/>
  <c r="F2" i="5"/>
  <c r="J20" i="13"/>
  <c r="R20" i="2"/>
  <c r="F45" i="2" s="1"/>
  <c r="V19" i="2"/>
  <c r="V63" i="2" s="1"/>
  <c r="F17" i="5"/>
  <c r="F40" i="5" s="1"/>
  <c r="B18" i="5"/>
  <c r="F3" i="5"/>
  <c r="R36" i="2"/>
  <c r="V32" i="2" s="1"/>
  <c r="V8" i="2" s="1"/>
  <c r="B26" i="5"/>
  <c r="N19" i="13"/>
  <c r="F41" i="5"/>
  <c r="F46" i="5"/>
  <c r="J20" i="2"/>
  <c r="B17" i="2"/>
  <c r="B32" i="13"/>
  <c r="N18" i="2"/>
  <c r="J42" i="2"/>
  <c r="N37" i="2"/>
  <c r="J35" i="5"/>
  <c r="B46" i="13"/>
  <c r="B50" i="13" s="1"/>
  <c r="F14" i="13"/>
  <c r="R39" i="2"/>
  <c r="R16" i="2"/>
  <c r="N14" i="13"/>
  <c r="J14" i="13"/>
  <c r="R21" i="2"/>
  <c r="N2" i="5"/>
  <c r="B20" i="5"/>
  <c r="N26" i="5"/>
  <c r="N27" i="5" s="1"/>
  <c r="B14" i="13"/>
  <c r="V54" i="2"/>
  <c r="V85" i="2"/>
  <c r="J46" i="13"/>
  <c r="F49" i="13"/>
  <c r="R59" i="2"/>
  <c r="N36" i="2"/>
  <c r="N38" i="5"/>
  <c r="N35" i="5"/>
  <c r="N23" i="5" s="1"/>
  <c r="B45" i="13"/>
  <c r="N20" i="2"/>
  <c r="N19" i="2" s="1"/>
  <c r="B56" i="13"/>
  <c r="F34" i="2"/>
  <c r="F58" i="2"/>
  <c r="V77" i="2"/>
  <c r="J48" i="13"/>
  <c r="N30" i="5"/>
  <c r="F82" i="2" l="1"/>
  <c r="Z4" i="7"/>
  <c r="Z5" i="7"/>
  <c r="P13" i="7" s="1"/>
  <c r="F30" i="2"/>
  <c r="F8" i="2"/>
  <c r="F59" i="2"/>
  <c r="F84" i="2"/>
  <c r="F50" i="2"/>
  <c r="R45" i="2"/>
  <c r="J54" i="13"/>
  <c r="J49" i="13"/>
  <c r="J55" i="13" s="1"/>
  <c r="Z3" i="7"/>
  <c r="B23" i="13"/>
  <c r="B24" i="13" s="1"/>
  <c r="F25" i="13" s="1"/>
  <c r="J51" i="13"/>
  <c r="B18" i="13"/>
  <c r="N18" i="13" s="1"/>
  <c r="V78" i="2"/>
  <c r="Z12" i="7"/>
  <c r="Z11" i="7"/>
  <c r="Z6" i="7"/>
  <c r="Z9" i="7"/>
  <c r="Z10" i="7"/>
  <c r="V68" i="2"/>
  <c r="V69" i="2" s="1"/>
  <c r="Z7" i="7"/>
  <c r="Z8" i="7"/>
  <c r="F39" i="5"/>
  <c r="B32" i="5"/>
  <c r="B39" i="13"/>
  <c r="B28" i="5"/>
  <c r="B25" i="5" s="1"/>
  <c r="F37" i="13"/>
  <c r="V55" i="2"/>
  <c r="J53" i="13"/>
  <c r="F53" i="13"/>
  <c r="B55" i="13"/>
  <c r="N20" i="13"/>
  <c r="F21" i="13"/>
  <c r="J21" i="13"/>
  <c r="J15" i="13"/>
  <c r="R24" i="2"/>
  <c r="N15" i="13"/>
  <c r="F15" i="13"/>
  <c r="B33" i="5"/>
  <c r="J37" i="5"/>
  <c r="N40" i="2"/>
  <c r="J40" i="2"/>
  <c r="J48" i="5"/>
  <c r="F71" i="2" s="1"/>
  <c r="N42" i="2"/>
  <c r="N37" i="5"/>
  <c r="N42" i="5"/>
  <c r="B35" i="6"/>
  <c r="R46" i="2"/>
  <c r="F48" i="13"/>
  <c r="J45" i="13"/>
  <c r="R71" i="2"/>
  <c r="J22" i="2"/>
  <c r="B44" i="13"/>
  <c r="N35" i="2"/>
  <c r="AA7" i="7"/>
  <c r="AE7" i="7" s="1"/>
  <c r="AA4" i="7"/>
  <c r="AE4" i="7" s="1"/>
  <c r="AA10" i="7"/>
  <c r="AE10" i="7" s="1"/>
  <c r="AA6" i="7"/>
  <c r="AE6" i="7" s="1"/>
  <c r="B21" i="5"/>
  <c r="B10" i="5" s="1"/>
  <c r="AA3" i="7"/>
  <c r="B17" i="5"/>
  <c r="R23" i="2"/>
  <c r="U4" i="5"/>
  <c r="N46" i="5"/>
  <c r="F50" i="5"/>
  <c r="R60" i="2"/>
  <c r="AA5" i="7" l="1"/>
  <c r="AE5" i="7" s="1"/>
  <c r="P9" i="7" s="1"/>
  <c r="F83" i="2"/>
  <c r="F87" i="2" s="1"/>
  <c r="F88" i="2" s="1"/>
  <c r="F75" i="2"/>
  <c r="F76" i="2" s="1"/>
  <c r="R72" i="2"/>
  <c r="V86" i="2" s="1"/>
  <c r="V89" i="2" s="1"/>
  <c r="V90" i="2" s="1"/>
  <c r="V11" i="2" s="1"/>
  <c r="V9" i="2" s="1"/>
  <c r="AD9" i="7" s="1"/>
  <c r="J50" i="13"/>
  <c r="J56" i="13" s="1"/>
  <c r="B28" i="13"/>
  <c r="N28" i="13" s="1"/>
  <c r="N24" i="13"/>
  <c r="F24" i="13"/>
  <c r="N23" i="13"/>
  <c r="F19" i="13"/>
  <c r="J25" i="13"/>
  <c r="J24" i="13"/>
  <c r="J19" i="13"/>
  <c r="B31" i="5"/>
  <c r="F54" i="5"/>
  <c r="B53" i="5" s="1"/>
  <c r="B40" i="5"/>
  <c r="J21" i="2"/>
  <c r="B18" i="2"/>
  <c r="N17" i="2"/>
  <c r="B54" i="13"/>
  <c r="B59" i="13" s="1"/>
  <c r="B60" i="13" s="1"/>
  <c r="B42" i="5"/>
  <c r="N50" i="5"/>
  <c r="B55" i="5" s="1"/>
  <c r="B10" i="6"/>
  <c r="F17" i="6" s="1"/>
  <c r="F18" i="13"/>
  <c r="F58" i="13"/>
  <c r="J63" i="13"/>
  <c r="B64" i="13"/>
  <c r="AE3" i="7"/>
  <c r="N25" i="2"/>
  <c r="N45" i="2"/>
  <c r="J29" i="2"/>
  <c r="B49" i="13"/>
  <c r="N41" i="2"/>
  <c r="J23" i="13"/>
  <c r="AA11" i="7"/>
  <c r="AE11" i="7" s="1"/>
  <c r="F23" i="13"/>
  <c r="AA8" i="7"/>
  <c r="AE8" i="7" s="1"/>
  <c r="R28" i="2"/>
  <c r="AB5" i="7" s="1"/>
  <c r="B9" i="7" s="1"/>
  <c r="P16" i="7" s="1"/>
  <c r="N22" i="13"/>
  <c r="AA12" i="7"/>
  <c r="AE12" i="7" s="1"/>
  <c r="J52" i="13"/>
  <c r="F52" i="13"/>
  <c r="R53" i="2"/>
  <c r="B8" i="8"/>
  <c r="B29" i="13"/>
  <c r="AB3" i="7"/>
  <c r="AB7" i="7"/>
  <c r="AB10" i="7"/>
  <c r="AB4" i="7"/>
  <c r="B2" i="5"/>
  <c r="AB6" i="7"/>
  <c r="B41" i="5"/>
  <c r="J52" i="5"/>
  <c r="B54" i="5" s="1"/>
  <c r="R31" i="2"/>
  <c r="N26" i="13"/>
  <c r="J27" i="13"/>
  <c r="F27" i="13"/>
  <c r="J24" i="2"/>
  <c r="N49" i="2"/>
  <c r="F45" i="13"/>
  <c r="R58" i="2"/>
  <c r="P15" i="7" l="1"/>
  <c r="F11" i="2"/>
  <c r="AC5" i="7" s="1"/>
  <c r="B10" i="7" s="1"/>
  <c r="V35" i="2"/>
  <c r="J29" i="13"/>
  <c r="F29" i="13"/>
  <c r="F30" i="13" s="1"/>
  <c r="B34" i="13"/>
  <c r="F35" i="13" s="1"/>
  <c r="F4" i="6"/>
  <c r="F8" i="6" s="1"/>
  <c r="V10" i="2"/>
  <c r="V12" i="2"/>
  <c r="B63" i="13"/>
  <c r="AC9" i="7"/>
  <c r="N26" i="2"/>
  <c r="N23" i="2"/>
  <c r="N16" i="2"/>
  <c r="N1" i="6"/>
  <c r="N2" i="6" s="1"/>
  <c r="C4" i="6" s="1"/>
  <c r="K6" i="16" s="1"/>
  <c r="B19" i="2"/>
  <c r="B23" i="2"/>
  <c r="B27" i="2"/>
  <c r="B16" i="2"/>
  <c r="J32" i="2"/>
  <c r="J27" i="2"/>
  <c r="J46" i="2" s="1"/>
  <c r="B52" i="5"/>
  <c r="B42" i="2" s="1"/>
  <c r="B39" i="5"/>
  <c r="B44" i="5" s="1"/>
  <c r="J62" i="13"/>
  <c r="F57" i="13"/>
  <c r="R63" i="2"/>
  <c r="R64" i="2" s="1"/>
  <c r="N50" i="2"/>
  <c r="J19" i="2"/>
  <c r="J23" i="2"/>
  <c r="R22" i="2"/>
  <c r="N33" i="13"/>
  <c r="F34" i="13"/>
  <c r="J34" i="13"/>
  <c r="J51" i="5"/>
  <c r="AB12" i="7"/>
  <c r="R52" i="2"/>
  <c r="AB8" i="7"/>
  <c r="AB11" i="7"/>
  <c r="D9" i="7" s="1"/>
  <c r="F67" i="13"/>
  <c r="N30" i="2"/>
  <c r="R34" i="2"/>
  <c r="B41" i="13"/>
  <c r="F59" i="13"/>
  <c r="F12" i="2" l="1"/>
  <c r="F9" i="2"/>
  <c r="AD5" i="7" s="1"/>
  <c r="P11" i="7" s="1"/>
  <c r="F10" i="2"/>
  <c r="H6" i="7"/>
  <c r="P17" i="7"/>
  <c r="T8" i="7"/>
  <c r="B8" i="13"/>
  <c r="B65" i="13"/>
  <c r="B68" i="13" s="1"/>
  <c r="B69" i="13" s="1"/>
  <c r="B11" i="13" s="1"/>
  <c r="N41" i="13"/>
  <c r="F44" i="13"/>
  <c r="J42" i="13" s="1"/>
  <c r="J60" i="13"/>
  <c r="J35" i="13"/>
  <c r="N34" i="13"/>
  <c r="F10" i="6"/>
  <c r="B26" i="7" s="1"/>
  <c r="D26" i="7" s="1"/>
  <c r="G4" i="6"/>
  <c r="F6" i="6" s="1"/>
  <c r="L7" i="7"/>
  <c r="J47" i="2"/>
  <c r="N31" i="2"/>
  <c r="N32" i="2" s="1"/>
  <c r="B26" i="2"/>
  <c r="B21" i="2"/>
  <c r="B57" i="5"/>
  <c r="N62" i="2" s="1"/>
  <c r="N61" i="2"/>
  <c r="J52" i="2"/>
  <c r="J53" i="2" s="1"/>
  <c r="F62" i="13"/>
  <c r="F63" i="13" s="1"/>
  <c r="N39" i="13"/>
  <c r="R70" i="2"/>
  <c r="R75" i="2" s="1"/>
  <c r="R76" i="2" s="1"/>
  <c r="R11" i="2" s="1"/>
  <c r="F42" i="13"/>
  <c r="R8" i="2"/>
  <c r="J72" i="13"/>
  <c r="J18" i="2"/>
  <c r="J17" i="2"/>
  <c r="N29" i="13"/>
  <c r="J30" i="13"/>
  <c r="F22" i="13"/>
  <c r="N21" i="13"/>
  <c r="J22" i="13"/>
  <c r="R30" i="2"/>
  <c r="F9" i="6"/>
  <c r="F7" i="6"/>
  <c r="B7" i="6"/>
  <c r="N55" i="2"/>
  <c r="B8" i="6"/>
  <c r="J35" i="2"/>
  <c r="J64" i="13"/>
  <c r="B30" i="2"/>
  <c r="B36" i="2"/>
  <c r="F68" i="13" l="1"/>
  <c r="B9" i="13"/>
  <c r="AD10" i="7" s="1"/>
  <c r="J73" i="13"/>
  <c r="J67" i="13"/>
  <c r="J68" i="13" s="1"/>
  <c r="N8" i="13"/>
  <c r="N11" i="13" s="1"/>
  <c r="N9" i="13" s="1"/>
  <c r="B10" i="13"/>
  <c r="AC10" i="7"/>
  <c r="B12" i="13"/>
  <c r="F19" i="6"/>
  <c r="B53" i="6"/>
  <c r="J13" i="16" s="1"/>
  <c r="B55" i="6"/>
  <c r="B51" i="6"/>
  <c r="J12" i="16" s="1"/>
  <c r="B56" i="6"/>
  <c r="J15" i="16" s="1"/>
  <c r="J9" i="6"/>
  <c r="N8" i="6" s="1"/>
  <c r="B31" i="6" s="1"/>
  <c r="F12" i="8"/>
  <c r="F16" i="6"/>
  <c r="F34" i="6" s="1"/>
  <c r="B19" i="7" s="1"/>
  <c r="D19" i="7" s="1"/>
  <c r="R9" i="6"/>
  <c r="R8" i="6" s="1"/>
  <c r="R13" i="6" s="1"/>
  <c r="J8" i="6"/>
  <c r="J13" i="6" s="1"/>
  <c r="J18" i="6" s="1"/>
  <c r="B43" i="2"/>
  <c r="B37" i="2"/>
  <c r="B31" i="2"/>
  <c r="B13" i="2"/>
  <c r="N56" i="2"/>
  <c r="N10" i="2" s="1"/>
  <c r="N13" i="2"/>
  <c r="B14" i="5"/>
  <c r="R9" i="2"/>
  <c r="AD8" i="7" s="1"/>
  <c r="R12" i="2"/>
  <c r="R10" i="2"/>
  <c r="AC8" i="7"/>
  <c r="F66" i="13"/>
  <c r="J40" i="13"/>
  <c r="J8" i="13" s="1"/>
  <c r="F8" i="13"/>
  <c r="J16" i="2"/>
  <c r="J33" i="13"/>
  <c r="N32" i="13"/>
  <c r="F33" i="13"/>
  <c r="J36" i="2"/>
  <c r="J10" i="2" s="1"/>
  <c r="J13" i="2"/>
  <c r="N12" i="13" l="1"/>
  <c r="N10" i="13"/>
  <c r="B54" i="6"/>
  <c r="J10" i="6"/>
  <c r="J14" i="6" s="1"/>
  <c r="J15" i="6" s="1"/>
  <c r="R10" i="6"/>
  <c r="R14" i="6" s="1"/>
  <c r="B36" i="6"/>
  <c r="B37" i="6" s="1"/>
  <c r="B32" i="6" s="1"/>
  <c r="B10" i="2"/>
  <c r="B8" i="2" s="1"/>
  <c r="AD4" i="7" s="1"/>
  <c r="N8" i="2"/>
  <c r="AD7" i="7" s="1"/>
  <c r="AC7" i="7"/>
  <c r="N11" i="2"/>
  <c r="N9" i="2"/>
  <c r="B11" i="5"/>
  <c r="B12" i="5"/>
  <c r="B15" i="5"/>
  <c r="AC3" i="7"/>
  <c r="B13" i="5"/>
  <c r="J71" i="13"/>
  <c r="J76" i="13" s="1"/>
  <c r="J77" i="13" s="1"/>
  <c r="J11" i="13" s="1"/>
  <c r="F71" i="13"/>
  <c r="F72" i="13" s="1"/>
  <c r="F11" i="13" s="1"/>
  <c r="N10" i="6"/>
  <c r="N11" i="6" s="1"/>
  <c r="J11" i="2"/>
  <c r="AC6" i="7"/>
  <c r="J8" i="2"/>
  <c r="AD6" i="7" s="1"/>
  <c r="J9" i="2"/>
  <c r="J14" i="16" l="1"/>
  <c r="B52" i="6"/>
  <c r="R7" i="6"/>
  <c r="J7" i="6"/>
  <c r="AC4" i="7"/>
  <c r="B9" i="2"/>
  <c r="B11" i="2"/>
  <c r="AD3" i="7"/>
  <c r="B35" i="8"/>
  <c r="F9" i="13"/>
  <c r="AD12" i="7" s="1"/>
  <c r="AC12" i="7"/>
  <c r="F10" i="13"/>
  <c r="F12" i="13"/>
  <c r="J9" i="13"/>
  <c r="AD11" i="7" s="1"/>
  <c r="J12" i="13"/>
  <c r="J10" i="13"/>
  <c r="AC11" i="7"/>
  <c r="J19" i="6"/>
  <c r="J12" i="6"/>
  <c r="N15" i="6"/>
  <c r="N16" i="6" s="1"/>
  <c r="N9" i="6"/>
  <c r="N13" i="6" s="1"/>
  <c r="N7" i="6"/>
  <c r="B34" i="6"/>
  <c r="B33" i="6"/>
  <c r="B39" i="6" s="1"/>
  <c r="J16" i="16" s="1"/>
  <c r="B14" i="6"/>
  <c r="P12" i="7" l="1"/>
  <c r="L11" i="7"/>
  <c r="L8" i="7"/>
  <c r="B23" i="7"/>
  <c r="D23" i="7" s="1"/>
  <c r="D10" i="7"/>
  <c r="D20" i="7" s="1"/>
  <c r="B20" i="7" s="1"/>
  <c r="B29" i="7"/>
  <c r="D29" i="7" s="1"/>
  <c r="B39" i="8"/>
  <c r="D35" i="8"/>
  <c r="N14" i="6"/>
  <c r="N18" i="6" s="1"/>
  <c r="N20" i="6"/>
  <c r="N21" i="6" s="1"/>
  <c r="N12" i="6"/>
  <c r="B21" i="6"/>
  <c r="B15" i="6"/>
  <c r="B22" i="6" s="1"/>
  <c r="B16" i="6"/>
  <c r="B23" i="6" s="1"/>
  <c r="B41" i="6"/>
  <c r="J21" i="16" s="1"/>
  <c r="B17" i="6" l="1"/>
  <c r="J17" i="16"/>
  <c r="F22" i="6"/>
  <c r="J22" i="16"/>
  <c r="B40" i="6"/>
  <c r="B16" i="8"/>
  <c r="B25" i="6"/>
  <c r="B26" i="6"/>
  <c r="J23" i="16"/>
  <c r="J20" i="6"/>
  <c r="N19" i="6" s="1"/>
  <c r="J25" i="6" s="1"/>
  <c r="N17" i="6"/>
  <c r="B15" i="8"/>
  <c r="B9" i="8"/>
  <c r="R15" i="6"/>
  <c r="J29" i="6"/>
  <c r="B42" i="6" l="1"/>
  <c r="J25" i="16" s="1"/>
  <c r="F23" i="6"/>
  <c r="J17" i="6"/>
  <c r="B6" i="10"/>
  <c r="B7" i="10" s="1"/>
  <c r="B9" i="10" s="1"/>
  <c r="B10" i="10" s="1"/>
  <c r="B21" i="8"/>
  <c r="R12" i="6"/>
  <c r="R20" i="6"/>
  <c r="B46" i="6"/>
  <c r="F5" i="6" s="1"/>
  <c r="J23" i="6"/>
  <c r="R24" i="6"/>
  <c r="B29" i="10" l="1"/>
  <c r="B30" i="10" s="1"/>
  <c r="B26" i="10"/>
  <c r="B47" i="6"/>
  <c r="B45" i="6" s="1"/>
  <c r="J11" i="16" s="1"/>
  <c r="J8" i="16" s="1"/>
  <c r="F18" i="6"/>
  <c r="J26" i="6"/>
  <c r="R18" i="6"/>
  <c r="J27" i="6"/>
  <c r="J31" i="6" l="1"/>
  <c r="B9" i="6" s="1"/>
  <c r="J24" i="6"/>
  <c r="J32" i="6" s="1"/>
  <c r="J28" i="6"/>
  <c r="B7" i="8"/>
  <c r="B6" i="8" s="1"/>
  <c r="B48" i="6"/>
  <c r="F40" i="6"/>
  <c r="J10" i="16" s="1"/>
  <c r="J30" i="6"/>
  <c r="F36" i="6"/>
  <c r="F14" i="6"/>
  <c r="R21" i="6"/>
  <c r="R22" i="6"/>
  <c r="F24" i="6" l="1"/>
  <c r="B58" i="6"/>
  <c r="R26" i="6"/>
  <c r="R19" i="6"/>
  <c r="R27" i="6" s="1"/>
  <c r="R23" i="6"/>
  <c r="F7" i="8"/>
  <c r="B7" i="7"/>
  <c r="D7" i="7" s="1"/>
  <c r="F42" i="6"/>
  <c r="J9" i="16"/>
  <c r="D1" i="7"/>
  <c r="B23" i="8"/>
  <c r="B41" i="8" s="1"/>
  <c r="B28" i="8" s="1"/>
  <c r="B40" i="8" s="1"/>
  <c r="F32" i="6"/>
  <c r="J20" i="16"/>
  <c r="B14" i="8"/>
  <c r="R25" i="6"/>
  <c r="R36" i="6"/>
  <c r="B57" i="6" l="1"/>
  <c r="F27" i="6"/>
  <c r="B59" i="6"/>
  <c r="J18" i="16"/>
  <c r="B6" i="7"/>
  <c r="D6" i="7" s="1"/>
  <c r="J28" i="16"/>
  <c r="B8" i="7"/>
  <c r="D8" i="7" s="1"/>
  <c r="J7" i="16"/>
  <c r="B20" i="8"/>
  <c r="F10" i="8"/>
  <c r="F8" i="8" s="1"/>
  <c r="F6" i="8"/>
  <c r="B12" i="7" s="1"/>
  <c r="R34" i="6"/>
  <c r="R38" i="6"/>
  <c r="J19" i="16" l="1"/>
  <c r="F26" i="6"/>
  <c r="B60" i="6"/>
  <c r="J27" i="16" s="1"/>
  <c r="F25" i="6"/>
  <c r="F28" i="6"/>
  <c r="B8" i="10"/>
  <c r="B13" i="10" s="1"/>
  <c r="F9" i="8"/>
  <c r="H6" i="8"/>
  <c r="D12" i="7"/>
  <c r="R32" i="6"/>
  <c r="R40" i="6" s="1"/>
  <c r="F21" i="6" l="1"/>
  <c r="F30" i="6" l="1"/>
  <c r="F38" i="6" s="1"/>
  <c r="R30" i="6"/>
  <c r="R42" i="6" s="1"/>
  <c r="R44" i="6" l="1"/>
  <c r="J29" i="16"/>
  <c r="B27" i="7"/>
  <c r="B25" i="7" l="1"/>
  <c r="D27" i="7"/>
  <c r="D25" i="7" l="1"/>
  <c r="D31" i="7" s="1"/>
  <c r="B31" i="7"/>
</calcChain>
</file>

<file path=xl/comments1.xml><?xml version="1.0" encoding="utf-8"?>
<comments xmlns="http://schemas.openxmlformats.org/spreadsheetml/2006/main">
  <authors>
    <author>ealenic</author>
    <author>Alex Nicolin</author>
  </authors>
  <commentList>
    <comment ref="A7" authorId="0">
      <text>
        <r>
          <rPr>
            <sz val="9"/>
            <color indexed="8"/>
            <rFont val="Tahoma"/>
            <family val="2"/>
          </rPr>
          <t>This is the bullet diameter, 
not the land/groove diameter.</t>
        </r>
      </text>
    </comment>
    <comment ref="A8" authorId="0">
      <text>
        <r>
          <rPr>
            <sz val="9"/>
            <color indexed="81"/>
            <rFont val="Tahoma"/>
            <family val="2"/>
          </rPr>
          <t>Nose ogive length in calibers, beore meplating - a longer nose improves the drag coefficient, but decreases the sectional density 
(should be no less than four times the relative jakcet thickenss)</t>
        </r>
      </text>
    </comment>
    <comment ref="A9" authorId="1">
      <text>
        <r>
          <rPr>
            <sz val="9"/>
            <color indexed="81"/>
            <rFont val="Tahoma"/>
            <family val="2"/>
          </rPr>
          <t xml:space="preserve">Body length in calibers, without cannelure:
It should be enough to ensure proper aligning of the projectile axis with the bore axis. For flat based projectile the tail surface also touches the barrel and contributes to aligning. So the </t>
        </r>
        <r>
          <rPr>
            <i/>
            <sz val="9"/>
            <color indexed="81"/>
            <rFont val="Tahoma"/>
            <family val="2"/>
          </rPr>
          <t>BFF</t>
        </r>
        <r>
          <rPr>
            <sz val="9"/>
            <color indexed="81"/>
            <rFont val="Tahoma"/>
            <family val="2"/>
          </rPr>
          <t xml:space="preserve"> sould be chosen as follows:
a) for a boat tail projectile it should be at least </t>
        </r>
        <r>
          <rPr>
            <i/>
            <sz val="9"/>
            <color indexed="81"/>
            <rFont val="Tahoma"/>
            <family val="2"/>
          </rPr>
          <t xml:space="preserve">0.5*PD;
</t>
        </r>
        <r>
          <rPr>
            <sz val="9"/>
            <color indexed="81"/>
            <rFont val="Tahoma"/>
            <family val="2"/>
          </rPr>
          <t xml:space="preserve">b) for a flat base projectile </t>
        </r>
        <r>
          <rPr>
            <i/>
            <sz val="9"/>
            <color indexed="81"/>
            <rFont val="Tahoma"/>
            <family val="2"/>
          </rPr>
          <t>BFF+TFF&gt;=0.5</t>
        </r>
        <r>
          <rPr>
            <sz val="9"/>
            <color indexed="81"/>
            <rFont val="Tahoma"/>
            <family val="2"/>
          </rPr>
          <t>.</t>
        </r>
      </text>
    </comment>
    <comment ref="A10" authorId="1">
      <text>
        <r>
          <rPr>
            <sz val="9"/>
            <color indexed="81"/>
            <rFont val="Tahoma"/>
            <family val="2"/>
          </rPr>
          <t xml:space="preserve">Tail length in calibers, before capping  
A boat tail improves the projectile drag coefficient but is harder to form consistently
</t>
        </r>
      </text>
    </comment>
    <comment ref="A15" authorId="0">
      <text>
        <r>
          <rPr>
            <sz val="9"/>
            <color indexed="81"/>
            <rFont val="Tahoma"/>
            <family val="2"/>
          </rPr>
          <t>The ratio between the virtual cartridge chamber length and the theoretical projectile length. It permits you to choose a short, fat case or a slender one for a given capacity.</t>
        </r>
      </text>
    </comment>
    <comment ref="A16" authorId="0">
      <text>
        <r>
          <rPr>
            <sz val="9"/>
            <color indexed="81"/>
            <rFont val="Tahoma"/>
            <family val="2"/>
          </rPr>
          <t>The ratio between the case chamber volume and the theoretical projectile volume. It influences the projectile to powder weight ratio that is a factor in determining the muzzle velocity.</t>
        </r>
      </text>
    </comment>
    <comment ref="B19" authorId="1">
      <text>
        <r>
          <rPr>
            <sz val="9"/>
            <color indexed="81"/>
            <rFont val="Arial"/>
            <family val="2"/>
          </rPr>
          <t>Case mouth will be set back 0.1 to 0.3 calibers, exposing more of the shank</t>
        </r>
      </text>
    </comment>
    <comment ref="B20" authorId="1">
      <text>
        <r>
          <rPr>
            <sz val="9"/>
            <color indexed="81"/>
            <rFont val="Arial"/>
            <family val="2"/>
          </rPr>
          <t xml:space="preserve">If shoulder height is larger than a fraction of the calibre, it will be set to this value
</t>
        </r>
      </text>
    </comment>
    <comment ref="B21" authorId="0">
      <text>
        <r>
          <rPr>
            <sz val="9"/>
            <color indexed="81"/>
            <rFont val="Tahoma"/>
            <family val="2"/>
          </rPr>
          <t>If yes option is picked, the model will use the parameters below to construct the case head. If the No option is picked, then it will construct one using the predefined proportions.</t>
        </r>
      </text>
    </comment>
  </commentList>
</comments>
</file>

<file path=xl/comments2.xml><?xml version="1.0" encoding="utf-8"?>
<comments xmlns="http://schemas.openxmlformats.org/spreadsheetml/2006/main">
  <authors>
    <author>Alex Nicolin</author>
  </authors>
  <commentList>
    <comment ref="A2" authorId="0">
      <text>
        <r>
          <rPr>
            <sz val="9"/>
            <color indexed="81"/>
            <rFont val="Arial"/>
            <family val="2"/>
          </rPr>
          <t>Muzzle velocity, load, pressure</t>
        </r>
      </text>
    </comment>
    <comment ref="D13" authorId="0">
      <text>
        <r>
          <rPr>
            <sz val="8"/>
            <color indexed="81"/>
            <rFont val="Tahoma"/>
            <family val="2"/>
          </rPr>
          <t>Based on Bramwell's estimation. However the online calculator uses a different formula, which is yields a higher PSI value for a given CUP.</t>
        </r>
      </text>
    </comment>
  </commentList>
</comments>
</file>

<file path=xl/comments3.xml><?xml version="1.0" encoding="utf-8"?>
<comments xmlns="http://schemas.openxmlformats.org/spreadsheetml/2006/main">
  <authors>
    <author>ealenic</author>
    <author>Alex Nicolin</author>
  </authors>
  <commentList>
    <comment ref="E1" authorId="0">
      <text>
        <r>
          <rPr>
            <sz val="9"/>
            <color indexed="81"/>
            <rFont val="Tahoma"/>
            <family val="2"/>
          </rPr>
          <t>Nose ogive length in calibers, beore meplating - a longer nose improves the drag coefficient, but decreases the sectional density 
(should be no less than four times the relative jakcet thickenss)</t>
        </r>
      </text>
    </comment>
    <comment ref="I1" authorId="1">
      <text>
        <r>
          <rPr>
            <sz val="9"/>
            <color indexed="81"/>
            <rFont val="Tahoma"/>
            <family val="2"/>
          </rPr>
          <t xml:space="preserve">Body length in calibers, without cannelure:
It should be enough to ensure proper aligning of the projectile axis with the bore axis. For flat based projectile the tail surface also touches the barrel and contributes to aligning. So the </t>
        </r>
        <r>
          <rPr>
            <i/>
            <sz val="9"/>
            <color indexed="81"/>
            <rFont val="Tahoma"/>
            <family val="2"/>
          </rPr>
          <t>BFF</t>
        </r>
        <r>
          <rPr>
            <sz val="9"/>
            <color indexed="81"/>
            <rFont val="Tahoma"/>
            <family val="2"/>
          </rPr>
          <t xml:space="preserve"> sould be chosen as follows:
a) for a boat tail projectile it should be at least </t>
        </r>
        <r>
          <rPr>
            <i/>
            <sz val="9"/>
            <color indexed="81"/>
            <rFont val="Tahoma"/>
            <family val="2"/>
          </rPr>
          <t xml:space="preserve">0.5*PD;
</t>
        </r>
        <r>
          <rPr>
            <sz val="9"/>
            <color indexed="81"/>
            <rFont val="Tahoma"/>
            <family val="2"/>
          </rPr>
          <t xml:space="preserve">b) for a flat base projectile </t>
        </r>
        <r>
          <rPr>
            <i/>
            <sz val="9"/>
            <color indexed="81"/>
            <rFont val="Tahoma"/>
            <family val="2"/>
          </rPr>
          <t>BFF+TFF&gt;=0.5</t>
        </r>
        <r>
          <rPr>
            <sz val="9"/>
            <color indexed="81"/>
            <rFont val="Tahoma"/>
            <family val="2"/>
          </rPr>
          <t>.</t>
        </r>
      </text>
    </comment>
    <comment ref="M1" authorId="1">
      <text>
        <r>
          <rPr>
            <sz val="9"/>
            <color indexed="81"/>
            <rFont val="Tahoma"/>
            <family val="2"/>
          </rPr>
          <t xml:space="preserve">Tail length in calibers, before capping  
A boat tail improves the projectile drag coefficient but is harder to form consistently
</t>
        </r>
      </text>
    </comment>
    <comment ref="A2" authorId="1">
      <text>
        <r>
          <rPr>
            <sz val="9"/>
            <color indexed="81"/>
            <rFont val="Tahoma"/>
            <family val="2"/>
          </rPr>
          <t>Projectile length in calibers, after meplating 
(it should be no more than 6 because the projectile would become too long to be gyroscopically stabilised)</t>
        </r>
      </text>
    </comment>
    <comment ref="E2" authorId="1">
      <text>
        <r>
          <rPr>
            <sz val="9"/>
            <color indexed="81"/>
            <rFont val="Tahoma"/>
            <family val="2"/>
          </rPr>
          <t>Nose ogive length in calibers, after meplating.</t>
        </r>
      </text>
    </comment>
    <comment ref="I2" authorId="1">
      <text>
        <r>
          <rPr>
            <sz val="9"/>
            <color indexed="81"/>
            <rFont val="Tahoma"/>
            <family val="2"/>
          </rPr>
          <t>Body Length in calibers, with cannelure</t>
        </r>
      </text>
    </comment>
    <comment ref="M2" authorId="1">
      <text>
        <r>
          <rPr>
            <sz val="9"/>
            <color indexed="81"/>
            <rFont val="Tahoma"/>
            <family val="2"/>
          </rPr>
          <t>Tail length in calibers, after capping</t>
        </r>
      </text>
    </comment>
    <comment ref="A8" authorId="1">
      <text>
        <r>
          <rPr>
            <sz val="9"/>
            <color indexed="81"/>
            <rFont val="Tahoma"/>
            <family val="2"/>
          </rPr>
          <t>For simple FMJ Projectile</t>
        </r>
      </text>
    </comment>
    <comment ref="A9" authorId="0">
      <text>
        <r>
          <rPr>
            <sz val="9"/>
            <color indexed="8"/>
            <rFont val="Tahoma"/>
            <family val="2"/>
          </rPr>
          <t>This is the bullet diameter, 
not the land/groove diameter.</t>
        </r>
      </text>
    </comment>
    <comment ref="J10" authorId="1">
      <text>
        <r>
          <rPr>
            <sz val="9"/>
            <color indexed="81"/>
            <rFont val="Arial"/>
            <family val="2"/>
          </rPr>
          <t>Case mouth will be set back 0.1 or 0.2 calibers, exposing more of the shank</t>
        </r>
      </text>
    </comment>
    <comment ref="A43" authorId="1">
      <text>
        <r>
          <rPr>
            <b/>
            <sz val="8"/>
            <color indexed="81"/>
            <rFont val="Tahoma"/>
            <family val="2"/>
          </rPr>
          <t>Lead</t>
        </r>
        <r>
          <rPr>
            <sz val="8"/>
            <color indexed="81"/>
            <rFont val="Tahoma"/>
            <family val="2"/>
          </rPr>
          <t xml:space="preserve">
</t>
        </r>
      </text>
    </comment>
    <comment ref="A47" authorId="1">
      <text>
        <r>
          <rPr>
            <sz val="9"/>
            <color indexed="81"/>
            <rFont val="Tahoma"/>
            <family val="2"/>
          </rPr>
          <t>The jacket prevents the core material from depositing on or eroding the bore surface. It hould be manufactured from a ductile, high melting point material like gilding metal or copper coated low carbon steel. A thicker jacket holds the projectile together during target penetration but also prevents it from fragmenting and creating a large wound channel.</t>
        </r>
      </text>
    </comment>
    <comment ref="A56" authorId="1">
      <text>
        <r>
          <rPr>
            <b/>
            <sz val="8"/>
            <color indexed="81"/>
            <rFont val="Tahoma"/>
            <family val="2"/>
          </rPr>
          <t xml:space="preserve">Gilding Metal </t>
        </r>
        <r>
          <rPr>
            <sz val="8"/>
            <color indexed="81"/>
            <rFont val="Tahoma"/>
            <family val="2"/>
          </rPr>
          <t>(95% Cu, 5% Ni)</t>
        </r>
      </text>
    </comment>
  </commentList>
</comments>
</file>

<file path=xl/comments4.xml><?xml version="1.0" encoding="utf-8"?>
<comments xmlns="http://schemas.openxmlformats.org/spreadsheetml/2006/main">
  <authors>
    <author>Alex Nicolin</author>
  </authors>
  <commentList>
    <comment ref="A1" authorId="0">
      <text>
        <r>
          <rPr>
            <b/>
            <sz val="8"/>
            <color indexed="8"/>
            <rFont val="Tahoma"/>
            <family val="2"/>
          </rPr>
          <t>Carbon Steel</t>
        </r>
        <r>
          <rPr>
            <sz val="8"/>
            <color indexed="8"/>
            <rFont val="Tahoma"/>
            <family val="2"/>
          </rPr>
          <t xml:space="preserve">
</t>
        </r>
      </text>
    </comment>
    <comment ref="A2" authorId="0">
      <text>
        <r>
          <rPr>
            <b/>
            <sz val="8"/>
            <color indexed="8"/>
            <rFont val="Tahoma"/>
            <family val="2"/>
          </rPr>
          <t>Tungsten Carbide</t>
        </r>
        <r>
          <rPr>
            <sz val="8"/>
            <color indexed="8"/>
            <rFont val="Tahoma"/>
            <family val="2"/>
          </rPr>
          <t xml:space="preserve">
</t>
        </r>
      </text>
    </comment>
    <comment ref="B4" authorId="0">
      <text>
        <r>
          <rPr>
            <sz val="9"/>
            <color indexed="81"/>
            <rFont val="Tahoma"/>
            <family val="2"/>
          </rPr>
          <t xml:space="preserve">Used for military applications where barrier/light armor penetration is needed. The core nose is manufacured from carbon steel which gives sufficient penetration characteristics against various types of barriers and light body armor. In addition to this, the lower density of steel relative to lead, combined with the small air pocket at the tip, shifts the projectile center of mass rearwards. In longer projectiles this translates in shorter overturning distance inside the target. Furtermore, the steel and lead parts of the core are held together only by the jacket and their contact plane is very close to the cannelure plane. This aspects promote case rupture along the cannelure when projectile overturning is initiated inside the target. </t>
        </r>
        <r>
          <rPr>
            <sz val="8"/>
            <color indexed="81"/>
            <rFont val="Tahoma"/>
            <family val="2"/>
          </rPr>
          <t xml:space="preserve">
</t>
        </r>
      </text>
    </comment>
    <comment ref="F4" authorId="0">
      <text>
        <r>
          <rPr>
            <sz val="9"/>
            <color indexed="81"/>
            <rFont val="Arial"/>
            <family val="2"/>
          </rPr>
          <t xml:space="preserve">Used for military applications where barrier/light armor penetration is needed. The core nose is manufacured from hardened carbon steel which gives sufficient penetration characteristics against various types of barriers and light body armor. In addition to this, the lower density of steel relative to lead shifts the projectile center of mass rearwards. In longer projectiles this translates in shorter overturning distance inside the target. Furtermore, the steel and lead parts of the core are held together only by the jacket and their contact plane is very close to the cannelure plane. This aspects promote case rupture along the cannelure when projectile overturning is initiated inside the target. </t>
        </r>
      </text>
    </comment>
    <comment ref="J4" authorId="0">
      <text>
        <r>
          <rPr>
            <sz val="9"/>
            <color indexed="81"/>
            <rFont val="Tahoma"/>
            <family val="2"/>
          </rPr>
          <t>Used for military applications where barrier/light armor penetration is needed. The core is manufacured from hardened carbon steel which gives sufficient penetration characteristics against various types of barriers and light body armor. The tip of the core is sharpened to a cone of 60 deg or less in order to have enough toughness for armor penetration. A lead strip is wrapped around the core, forming a liner between the jacket and the core. When the bullet is fired, this strip is compressed by the rifling acting upon the jacket and cushions the impact the hardened core might have on the barrel. Upon striking a target, the lead cap expands, partially stripping the jacket, and thus facilitates core penetration.</t>
        </r>
      </text>
    </comment>
    <comment ref="N4" authorId="0">
      <text>
        <r>
          <rPr>
            <sz val="9"/>
            <color indexed="81"/>
            <rFont val="Tahoma"/>
            <family val="2"/>
          </rPr>
          <t>Used for military applications where medium to heavy armor penetration is needed. The core is manufacured from tungsten carbide which gives superior penetration characteristics against various types of vehicle or body armor. The tip of the core is sharpened to a cone of 60 deg or less in order to have enough toughness for armor penetration. An alluminum cup is placed at the base of the penetrator. It also forms a liner between the soft jacket and the hardened core, signifficantly reducing engraving pressure and thus barrel wear. Upon striking a target, the aluminum cap expands, partially stripping the jacket, and thus facilitates core penetration.</t>
        </r>
      </text>
    </comment>
    <comment ref="R4" authorId="0">
      <text>
        <r>
          <rPr>
            <sz val="9"/>
            <color indexed="81"/>
            <rFont val="Arial"/>
            <family val="2"/>
          </rPr>
          <t>Used for hunting game at the upper power range of the cartridge. The exposed lead tip flattens on impact and promotes moderate expansion and deep penetration into the body.</t>
        </r>
      </text>
    </comment>
    <comment ref="V4" authorId="0">
      <text>
        <r>
          <rPr>
            <sz val="9"/>
            <color indexed="81"/>
            <rFont val="Arial"/>
            <family val="2"/>
          </rPr>
          <t>Used for hunting game at the lower power range of the cartridge. The plastic tip enhances the aerodynamic properties of the bullet, and enhances feeding reliability, when compared to a hollowpoint.  Upon impact, it flattens and expands rapidly, initiating the core and jacket expansion. The bullet has moderate penetration, thus expanding its energy in a shallower pattern.</t>
        </r>
      </text>
    </comment>
  </commentList>
</comments>
</file>

<file path=xl/comments5.xml><?xml version="1.0" encoding="utf-8"?>
<comments xmlns="http://schemas.openxmlformats.org/spreadsheetml/2006/main">
  <authors>
    <author>Alex Nicolin</author>
  </authors>
  <commentList>
    <comment ref="A1" authorId="0">
      <text>
        <r>
          <rPr>
            <sz val="9"/>
            <color indexed="81"/>
            <rFont val="Arial"/>
            <family val="2"/>
          </rPr>
          <t>Lead 92%
Antimony 6%
Tin 2%</t>
        </r>
        <r>
          <rPr>
            <sz val="9"/>
            <color indexed="81"/>
            <rFont val="Tahoma"/>
            <family val="2"/>
          </rPr>
          <t xml:space="preserve">
</t>
        </r>
      </text>
    </comment>
  </commentList>
</comments>
</file>

<file path=xl/comments6.xml><?xml version="1.0" encoding="utf-8"?>
<comments xmlns="http://schemas.openxmlformats.org/spreadsheetml/2006/main">
  <authors>
    <author>ealenic</author>
    <author>Alex Nicolin</author>
  </authors>
  <commentList>
    <comment ref="E1" authorId="0">
      <text>
        <r>
          <rPr>
            <sz val="9"/>
            <color indexed="81"/>
            <rFont val="Tahoma"/>
            <family val="2"/>
          </rPr>
          <t>The ratio between the virtual cartridge chamber length and the theoretical projectile length. It permits you to choose a short, fat case or a slender one for a given capacity.</t>
        </r>
      </text>
    </comment>
    <comment ref="E2" authorId="0">
      <text>
        <r>
          <rPr>
            <sz val="9"/>
            <color indexed="81"/>
            <rFont val="Tahoma"/>
            <family val="2"/>
          </rPr>
          <t>The ratio between the case chamber volume and the theoretical projectile volume. It influences the projectile to powder weight ratio that is a factor in determining the muzzle velocity.</t>
        </r>
      </text>
    </comment>
    <comment ref="I2" authorId="1">
      <text>
        <r>
          <rPr>
            <b/>
            <sz val="8"/>
            <color indexed="81"/>
            <rFont val="Tahoma"/>
            <family val="2"/>
          </rPr>
          <t>Annealed Cartridge Brass (70% Cu, 30% Zn)</t>
        </r>
        <r>
          <rPr>
            <sz val="8"/>
            <color indexed="81"/>
            <rFont val="Tahoma"/>
            <family val="2"/>
          </rPr>
          <t xml:space="preserve">
</t>
        </r>
      </text>
    </comment>
    <comment ref="B29" authorId="1">
      <text>
        <r>
          <rPr>
            <sz val="9"/>
            <color indexed="81"/>
            <rFont val="Arial"/>
            <family val="2"/>
          </rPr>
          <t xml:space="preserve">If shoulder height is larger than a fraction of the calibre, it will be set to this value
</t>
        </r>
      </text>
    </comment>
    <comment ref="E32" authorId="1">
      <text>
        <r>
          <rPr>
            <sz val="9"/>
            <color indexed="81"/>
            <rFont val="Arial"/>
            <family val="2"/>
          </rPr>
          <t>Completely filled, primed case, without bullet</t>
        </r>
      </text>
    </comment>
    <comment ref="E34" authorId="1">
      <text>
        <r>
          <rPr>
            <sz val="9"/>
            <color indexed="81"/>
            <rFont val="Arial"/>
            <family val="2"/>
          </rPr>
          <t>Completely filled, primed case, with seated bullet</t>
        </r>
      </text>
    </comment>
    <comment ref="E36" authorId="1">
      <text>
        <r>
          <rPr>
            <sz val="9"/>
            <color indexed="81"/>
            <rFont val="Arial"/>
            <family val="2"/>
          </rPr>
          <t>Primed case, filled up to the shoulder, with seated bullet</t>
        </r>
      </text>
    </comment>
    <comment ref="A42" authorId="1">
      <text>
        <r>
          <rPr>
            <sz val="9"/>
            <color indexed="81"/>
            <rFont val="Arial"/>
            <family val="2"/>
          </rPr>
          <t>Measured shoulder to shoulder</t>
        </r>
        <r>
          <rPr>
            <sz val="9"/>
            <color indexed="81"/>
            <rFont val="Tahoma"/>
            <family val="2"/>
          </rPr>
          <t xml:space="preserve">
</t>
        </r>
      </text>
    </comment>
  </commentList>
</comments>
</file>

<file path=xl/comments7.xml><?xml version="1.0" encoding="utf-8"?>
<comments xmlns="http://schemas.openxmlformats.org/spreadsheetml/2006/main">
  <authors>
    <author>Alex Nicolin</author>
  </authors>
  <commentList>
    <comment ref="A44" authorId="0">
      <text>
        <r>
          <rPr>
            <sz val="9"/>
            <color indexed="81"/>
            <rFont val="Arial"/>
            <family val="2"/>
          </rPr>
          <t>SS109</t>
        </r>
        <r>
          <rPr>
            <sz val="9"/>
            <color indexed="81"/>
            <rFont val="Tahoma"/>
            <family val="2"/>
          </rPr>
          <t xml:space="preserve">
2.1854
1.2509
0.3819</t>
        </r>
      </text>
    </comment>
  </commentList>
</comments>
</file>

<file path=xl/comments8.xml><?xml version="1.0" encoding="utf-8"?>
<comments xmlns="http://schemas.openxmlformats.org/spreadsheetml/2006/main">
  <authors>
    <author>Alex Nicolin</author>
  </authors>
  <commentList>
    <comment ref="A2" authorId="0">
      <text>
        <r>
          <rPr>
            <b/>
            <sz val="8"/>
            <color indexed="81"/>
            <rFont val="Tahoma"/>
            <family val="2"/>
          </rPr>
          <t>4150 Steel
Tempered at 530C</t>
        </r>
      </text>
    </comment>
    <comment ref="A10" authorId="0">
      <text>
        <r>
          <rPr>
            <sz val="8"/>
            <color indexed="81"/>
            <rFont val="Tahoma"/>
            <family val="2"/>
          </rPr>
          <t>Just enough for the projectile to become fully uncrimped from the case when it contacts the rifling.</t>
        </r>
      </text>
    </comment>
    <comment ref="A12" authorId="0">
      <text>
        <r>
          <rPr>
            <sz val="8"/>
            <color indexed="81"/>
            <rFont val="Tahoma"/>
            <family val="2"/>
          </rPr>
          <t>The point where the projectile begins engaging the rifling, measured on the projectile nose, from the nose base towards the tip.</t>
        </r>
      </text>
    </comment>
    <comment ref="E12" authorId="0">
      <text>
        <r>
          <rPr>
            <sz val="9"/>
            <color indexed="81"/>
            <rFont val="Tahoma"/>
            <family val="2"/>
          </rPr>
          <t>Calculated using von Mises' criterion for 33% overpressure (133% of maximum pressure).</t>
        </r>
        <r>
          <rPr>
            <sz val="8"/>
            <color indexed="81"/>
            <rFont val="Tahoma"/>
            <family val="2"/>
          </rPr>
          <t xml:space="preserve">
</t>
        </r>
      </text>
    </comment>
    <comment ref="A13" authorId="0">
      <text>
        <r>
          <rPr>
            <sz val="8"/>
            <color indexed="81"/>
            <rFont val="Tahoma"/>
            <family val="2"/>
          </rPr>
          <t xml:space="preserve">Distance covered by the projectile from the fully seated (crimped) position to rifling engagement. </t>
        </r>
      </text>
    </comment>
    <comment ref="A19" authorId="0">
      <text>
        <r>
          <rPr>
            <sz val="8"/>
            <color indexed="81"/>
            <rFont val="Tahoma"/>
            <family val="2"/>
          </rPr>
          <t>Throat diameter at the first contact point</t>
        </r>
      </text>
    </comment>
    <comment ref="A22" authorId="0">
      <text>
        <r>
          <rPr>
            <sz val="8"/>
            <color indexed="81"/>
            <rFont val="Tahoma"/>
            <family val="2"/>
          </rPr>
          <t xml:space="preserve">Angle of the tangent to the nose ogive at the first contact point
</t>
        </r>
      </text>
    </comment>
  </commentList>
</comments>
</file>

<file path=xl/comments9.xml><?xml version="1.0" encoding="utf-8"?>
<comments xmlns="http://schemas.openxmlformats.org/spreadsheetml/2006/main">
  <authors>
    <author>Alex Nicolin</author>
  </authors>
  <commentList>
    <comment ref="E1" authorId="0">
      <text>
        <r>
          <rPr>
            <b/>
            <sz val="8"/>
            <color indexed="81"/>
            <rFont val="Tahoma"/>
            <family val="2"/>
          </rPr>
          <t>4140 Steel
Tempered at 540C</t>
        </r>
        <r>
          <rPr>
            <sz val="8"/>
            <color indexed="81"/>
            <rFont val="Tahoma"/>
            <family val="2"/>
          </rPr>
          <t xml:space="preserve">
</t>
        </r>
      </text>
    </comment>
    <comment ref="A6" authorId="0">
      <text>
        <r>
          <rPr>
            <sz val="9"/>
            <color indexed="81"/>
            <rFont val="Tahoma"/>
            <family val="2"/>
          </rPr>
          <t>Maximum internal diameter</t>
        </r>
      </text>
    </comment>
    <comment ref="A8" authorId="0">
      <text>
        <r>
          <rPr>
            <sz val="9"/>
            <color indexed="81"/>
            <rFont val="Tahoma"/>
            <family val="2"/>
          </rPr>
          <t>Case head area excluding primer hole</t>
        </r>
      </text>
    </comment>
    <comment ref="A9" authorId="0">
      <text>
        <r>
          <rPr>
            <sz val="9"/>
            <color indexed="81"/>
            <rFont val="Tahoma"/>
            <family val="2"/>
          </rPr>
          <t>Calculated for a load reaching maximum pressure, with no chamber wall friction (worst case scenario).</t>
        </r>
      </text>
    </comment>
    <comment ref="A12" authorId="0">
      <text>
        <r>
          <rPr>
            <sz val="9"/>
            <color indexed="81"/>
            <rFont val="Tahoma"/>
            <family val="2"/>
          </rPr>
          <t>Proof load yelds 25% overpressure, with a +8% error margin. It's calculated for 133% of maximum pressure.</t>
        </r>
      </text>
    </comment>
    <comment ref="A13" authorId="0">
      <text>
        <r>
          <rPr>
            <sz val="9"/>
            <color indexed="81"/>
            <rFont val="Tahoma"/>
            <family val="2"/>
          </rPr>
          <t>Proof load bolt thrust on the contact area</t>
        </r>
      </text>
    </comment>
    <comment ref="A19" authorId="0">
      <text>
        <r>
          <rPr>
            <sz val="9"/>
            <color indexed="81"/>
            <rFont val="Tahoma"/>
            <family val="2"/>
          </rPr>
          <t>Excluding overhang</t>
        </r>
        <r>
          <rPr>
            <sz val="8"/>
            <color indexed="81"/>
            <rFont val="Tahoma"/>
            <family val="2"/>
          </rPr>
          <t xml:space="preserve">
</t>
        </r>
      </text>
    </comment>
    <comment ref="A23" authorId="0">
      <text>
        <r>
          <rPr>
            <sz val="9"/>
            <color indexed="81"/>
            <rFont val="Tahoma"/>
            <family val="2"/>
          </rPr>
          <t>Simulates the failure of a lug and the redistribution of stress on the remaining ones.</t>
        </r>
        <r>
          <rPr>
            <sz val="8"/>
            <color indexed="81"/>
            <rFont val="Tahoma"/>
            <family val="2"/>
          </rPr>
          <t xml:space="preserve">
</t>
        </r>
      </text>
    </comment>
  </commentList>
</comments>
</file>

<file path=xl/sharedStrings.xml><?xml version="1.0" encoding="utf-8"?>
<sst xmlns="http://schemas.openxmlformats.org/spreadsheetml/2006/main" count="3293" uniqueCount="819">
  <si>
    <t>Initial Data</t>
  </si>
  <si>
    <t>Projectile Diameter</t>
  </si>
  <si>
    <t>mm</t>
  </si>
  <si>
    <t>[1]</t>
  </si>
  <si>
    <t>Tail Form Factor</t>
  </si>
  <si>
    <t>Projectile Form Factor</t>
  </si>
  <si>
    <t>Jacket Thickness</t>
  </si>
  <si>
    <t>Nose Ogive</t>
  </si>
  <si>
    <t>Core</t>
  </si>
  <si>
    <t>Nose</t>
  </si>
  <si>
    <t>Ogival Nose End Diameter</t>
  </si>
  <si>
    <t>Nose Fillet Radius</t>
  </si>
  <si>
    <t>Nose Fillet Protrusion</t>
  </si>
  <si>
    <t>Nose Fillet Center Position</t>
  </si>
  <si>
    <t>Nose shape</t>
  </si>
  <si>
    <t>Tail</t>
  </si>
  <si>
    <t>Tail Shape</t>
  </si>
  <si>
    <t>Tail Length</t>
  </si>
  <si>
    <t>Nose Base Diameter</t>
  </si>
  <si>
    <t>Tail Base Diameter</t>
  </si>
  <si>
    <t>Tail Fillet Protrusion</t>
  </si>
  <si>
    <t>Tail Cavity Outer Diameter</t>
  </si>
  <si>
    <t>Tail Cavity Inner Diameter</t>
  </si>
  <si>
    <t>Ellipse Center Position X</t>
  </si>
  <si>
    <t>Ellipse Center Position Y</t>
  </si>
  <si>
    <t>Ellipse Radius on X axis</t>
  </si>
  <si>
    <t>Ellipse Radius on Y axis</t>
  </si>
  <si>
    <t>deg</t>
  </si>
  <si>
    <t>Angle of attack at base</t>
  </si>
  <si>
    <t>Angle of attack at fillet</t>
  </si>
  <si>
    <t>Exterior</t>
  </si>
  <si>
    <t>Shank</t>
  </si>
  <si>
    <t>Final Nose Form Factor</t>
  </si>
  <si>
    <t>Initial Nose Form Factor</t>
  </si>
  <si>
    <t>Nose Volume</t>
  </si>
  <si>
    <t>Center of Mass on X axis</t>
  </si>
  <si>
    <t>cm3</t>
  </si>
  <si>
    <t>Derived Measurements</t>
  </si>
  <si>
    <t>Jacket</t>
  </si>
  <si>
    <t>Tail Fillet Position X</t>
  </si>
  <si>
    <t>Tail Fillet Position Y</t>
  </si>
  <si>
    <t>Tail Cavity Depth</t>
  </si>
  <si>
    <t>End Pit Center X axis</t>
  </si>
  <si>
    <t>End Pit Radius</t>
  </si>
  <si>
    <t>Tail Volume</t>
  </si>
  <si>
    <t>Ogival Nose Length</t>
  </si>
  <si>
    <t>Jacket Volume</t>
  </si>
  <si>
    <t>Nose Orientation</t>
  </si>
  <si>
    <t>[sgn]</t>
  </si>
  <si>
    <t>Shank Orientation</t>
  </si>
  <si>
    <t>Cannelure Depth</t>
  </si>
  <si>
    <t>Cannelure Width</t>
  </si>
  <si>
    <t>Cannelure Taper Width</t>
  </si>
  <si>
    <t>Length in front of cannelure</t>
  </si>
  <si>
    <t>Total Nose Length</t>
  </si>
  <si>
    <t>Length at rear of cannelure</t>
  </si>
  <si>
    <t>Cannelure Diameter</t>
  </si>
  <si>
    <t>Cannelure Volume</t>
  </si>
  <si>
    <t>Cannelure Bottom Position</t>
  </si>
  <si>
    <t>Cannelure Front Position</t>
  </si>
  <si>
    <t>Cannelure Back Position</t>
  </si>
  <si>
    <t>Cannelure Lip Width</t>
  </si>
  <si>
    <t>Jacket at Cannelure bottom</t>
  </si>
  <si>
    <t>Shank Volume</t>
  </si>
  <si>
    <t>Tail Orientation</t>
  </si>
  <si>
    <t>Total Tail Length</t>
  </si>
  <si>
    <t>Tail Outer Fillet Radius</t>
  </si>
  <si>
    <t>Tail Inner Fillet Radius</t>
  </si>
  <si>
    <t>Projectile</t>
  </si>
  <si>
    <t>Orientation</t>
  </si>
  <si>
    <t>Origin Position X</t>
  </si>
  <si>
    <t>Projectile Length</t>
  </si>
  <si>
    <t>Nose Length</t>
  </si>
  <si>
    <t>Shank Length</t>
  </si>
  <si>
    <t>g/cm3</t>
  </si>
  <si>
    <t>Core Material Density</t>
  </si>
  <si>
    <t>Jacket Material Densiry</t>
  </si>
  <si>
    <t>Projectile Volume</t>
  </si>
  <si>
    <t>Center of Shape Pos X</t>
  </si>
  <si>
    <t>Nose Center Pos X</t>
  </si>
  <si>
    <t>Shank Center Pos X</t>
  </si>
  <si>
    <t>Tail Center Pos X</t>
  </si>
  <si>
    <t>General Data</t>
  </si>
  <si>
    <t>Core Length</t>
  </si>
  <si>
    <t>Core Volume</t>
  </si>
  <si>
    <t>Total Shank Length</t>
  </si>
  <si>
    <t>Core Weight</t>
  </si>
  <si>
    <t>g</t>
  </si>
  <si>
    <t>Jacket Center Pos X</t>
  </si>
  <si>
    <t>Core Center Pos X</t>
  </si>
  <si>
    <t>Projectile Mass</t>
  </si>
  <si>
    <t>Center of Mass Pos X</t>
  </si>
  <si>
    <t>Projectile Center Pos X</t>
  </si>
  <si>
    <t>gn</t>
  </si>
  <si>
    <t>Mean Density</t>
  </si>
  <si>
    <t>Initial data</t>
  </si>
  <si>
    <t>Initial Chamber Length</t>
  </si>
  <si>
    <t>Cartridge Aspect Ratio</t>
  </si>
  <si>
    <t>Cartridge Volume Ratio</t>
  </si>
  <si>
    <t>Initial Chamber Diameter</t>
  </si>
  <si>
    <t>Segment 1</t>
  </si>
  <si>
    <t>Length</t>
  </si>
  <si>
    <t>Top Diameter</t>
  </si>
  <si>
    <t>Bottom Diameter</t>
  </si>
  <si>
    <t>Volume</t>
  </si>
  <si>
    <t>Segment 2</t>
  </si>
  <si>
    <t>Segment 3</t>
  </si>
  <si>
    <t>Fillet Center Pos Y</t>
  </si>
  <si>
    <t>Fillet Center Pos X</t>
  </si>
  <si>
    <t>Fillet Radius</t>
  </si>
  <si>
    <t>Interior</t>
  </si>
  <si>
    <t>Top Wall Thickness</t>
  </si>
  <si>
    <t>Bottom Wall Thickness</t>
  </si>
  <si>
    <t>Sengment 3 Fillet</t>
  </si>
  <si>
    <t>Fillet Contact Point X</t>
  </si>
  <si>
    <t>Fillet Contact Point Y</t>
  </si>
  <si>
    <t>Fillet Contact Slope</t>
  </si>
  <si>
    <t>Cartridge Chamber</t>
  </si>
  <si>
    <t>Cartridge Case</t>
  </si>
  <si>
    <t>Chamber Length</t>
  </si>
  <si>
    <t>Top Chamber Diameter</t>
  </si>
  <si>
    <t>Bottom Chamber Diameter</t>
  </si>
  <si>
    <t>Rimless</t>
  </si>
  <si>
    <t>Rimmed</t>
  </si>
  <si>
    <t>Boxer Primer Size</t>
  </si>
  <si>
    <t>Flash Channel Length</t>
  </si>
  <si>
    <t>Primer Pocket Depth</t>
  </si>
  <si>
    <t>Flash Channel Diameter</t>
  </si>
  <si>
    <t>Primer Pocket Diameter</t>
  </si>
  <si>
    <t>Primer Crimp Diameter</t>
  </si>
  <si>
    <t>Primer Weight</t>
  </si>
  <si>
    <t>Neck</t>
  </si>
  <si>
    <t>Chamber Segments</t>
  </si>
  <si>
    <t>Neck Length</t>
  </si>
  <si>
    <t>Neck Length (L3-L2)</t>
  </si>
  <si>
    <t>Neck Wall Thickness</t>
  </si>
  <si>
    <t>Mouth Diameter (Crimped)</t>
  </si>
  <si>
    <t>Neck-Shoulder Inner Fillet</t>
  </si>
  <si>
    <t>Neck-Shoulder Outer Fillet</t>
  </si>
  <si>
    <t>Neck Diameter (ØH1)</t>
  </si>
  <si>
    <t>Shoulder</t>
  </si>
  <si>
    <t>Shoulder Diameter (ØP2)</t>
  </si>
  <si>
    <t>Shoulder Wall Thickness</t>
  </si>
  <si>
    <t>Shoulder-Body Inner Fillet</t>
  </si>
  <si>
    <t>Shoulder-Body Outer Fillet</t>
  </si>
  <si>
    <t>Shoulder Angle (α)</t>
  </si>
  <si>
    <t>Body</t>
  </si>
  <si>
    <t>Body Length (L1-E)</t>
  </si>
  <si>
    <t>Base Wall Thickness</t>
  </si>
  <si>
    <t>Case Bottom Thickness</t>
  </si>
  <si>
    <t>Base Diameter (ØP1)</t>
  </si>
  <si>
    <t>Case Head</t>
  </si>
  <si>
    <t>Case Head Length (E)</t>
  </si>
  <si>
    <t>Forward Slope Length</t>
  </si>
  <si>
    <t>Extractor Groove Width (e)</t>
  </si>
  <si>
    <t>Rim Thickness (R)</t>
  </si>
  <si>
    <t>Straight Rim Width</t>
  </si>
  <si>
    <t>Rim Slope Width (f)</t>
  </si>
  <si>
    <t>Groove Diameter (ØE1)</t>
  </si>
  <si>
    <t>Rim Diameter (ØR1)</t>
  </si>
  <si>
    <t>End Base Diameter (ØR2)</t>
  </si>
  <si>
    <t>Rim Slope Angle (β)</t>
  </si>
  <si>
    <t>Forward Slope Angle (δ)</t>
  </si>
  <si>
    <t>Case Volumes</t>
  </si>
  <si>
    <t>Total Inner Volume</t>
  </si>
  <si>
    <t>Inner Neck Volume</t>
  </si>
  <si>
    <t>Inner Shoulder Volume</t>
  </si>
  <si>
    <t>Nominal Powder Volume</t>
  </si>
  <si>
    <t>Fire Channel Volume</t>
  </si>
  <si>
    <t>Primer Pocket Volume</t>
  </si>
  <si>
    <t>Total Outer Volume</t>
  </si>
  <si>
    <t>Neck Outer Volume</t>
  </si>
  <si>
    <t>Shoulder Outer Volume</t>
  </si>
  <si>
    <t>Body Outer Volume</t>
  </si>
  <si>
    <t>Forward Slope Volume</t>
  </si>
  <si>
    <t>Extractor Seating Volume</t>
  </si>
  <si>
    <t>Plain Rim Volume</t>
  </si>
  <si>
    <t>Backward Slope Volume</t>
  </si>
  <si>
    <t>Case Volume</t>
  </si>
  <si>
    <t>Case Capacity</t>
  </si>
  <si>
    <t>Case Weight</t>
  </si>
  <si>
    <t>Case Length (L3)</t>
  </si>
  <si>
    <t>Max Working Pressure</t>
  </si>
  <si>
    <t>MPa</t>
  </si>
  <si>
    <t>Loaded Length (L6)</t>
  </si>
  <si>
    <t>Innitial data</t>
  </si>
  <si>
    <t>Number of Grooves</t>
  </si>
  <si>
    <t>Material Yeld Strength</t>
  </si>
  <si>
    <t>Chamber</t>
  </si>
  <si>
    <t>Minimal Contour</t>
  </si>
  <si>
    <t>Total Length</t>
  </si>
  <si>
    <t>Body Length</t>
  </si>
  <si>
    <t>Supported Section Length</t>
  </si>
  <si>
    <t>Shoulder Length</t>
  </si>
  <si>
    <t>Transition Section Length</t>
  </si>
  <si>
    <t>Free Section Length</t>
  </si>
  <si>
    <t>Freebore Length</t>
  </si>
  <si>
    <t>Supported Section Diameter</t>
  </si>
  <si>
    <t>Throat Length (Leade)</t>
  </si>
  <si>
    <t>Free Section Diameter</t>
  </si>
  <si>
    <t>First Contact Point</t>
  </si>
  <si>
    <t>Chamer Wall Thickness</t>
  </si>
  <si>
    <t>Distance to Engagement</t>
  </si>
  <si>
    <t>Free Wall Thickness</t>
  </si>
  <si>
    <t>Base Diameter</t>
  </si>
  <si>
    <t>Shoulder Diameter</t>
  </si>
  <si>
    <t>Neck Diameter</t>
  </si>
  <si>
    <t>Throat End Diameter</t>
  </si>
  <si>
    <t>Throat Mean Diameter</t>
  </si>
  <si>
    <t>Taper Angle</t>
  </si>
  <si>
    <t>Shoulder Angle</t>
  </si>
  <si>
    <t>Throat Angle</t>
  </si>
  <si>
    <t>Bore</t>
  </si>
  <si>
    <t>Bore Length</t>
  </si>
  <si>
    <t>Land Width</t>
  </si>
  <si>
    <t>Groove Curve Length</t>
  </si>
  <si>
    <t>Groove Curve Radius</t>
  </si>
  <si>
    <t>Inner Triangle Height</t>
  </si>
  <si>
    <t>Inner Triangle Side</t>
  </si>
  <si>
    <t>Land Diameter</t>
  </si>
  <si>
    <t>Groove Diameter</t>
  </si>
  <si>
    <t>Virtual Diameter</t>
  </si>
  <si>
    <t>Rifling Twist</t>
  </si>
  <si>
    <t>in</t>
  </si>
  <si>
    <t>Rifled Section Area</t>
  </si>
  <si>
    <t>cm2</t>
  </si>
  <si>
    <t>Smooth Section Area</t>
  </si>
  <si>
    <t>Rifling Area Constriction</t>
  </si>
  <si>
    <t>[%]</t>
  </si>
  <si>
    <t>Rifling Angle</t>
  </si>
  <si>
    <t>Rotations Inside Barell</t>
  </si>
  <si>
    <t>Sectional Density</t>
  </si>
  <si>
    <t>g/cm2</t>
  </si>
  <si>
    <t>x</t>
  </si>
  <si>
    <t>Online Calculator</t>
  </si>
  <si>
    <t>Input Parameters</t>
  </si>
  <si>
    <t>Metric</t>
  </si>
  <si>
    <t>Imperial</t>
  </si>
  <si>
    <t>Case Length</t>
  </si>
  <si>
    <t>Cartridge Length</t>
  </si>
  <si>
    <t>Bullet Length</t>
  </si>
  <si>
    <t>Bullet Weight</t>
  </si>
  <si>
    <t>Bullet Diameter</t>
  </si>
  <si>
    <t>Barel Length</t>
  </si>
  <si>
    <t>Load Working Pressure</t>
  </si>
  <si>
    <t>CUP</t>
  </si>
  <si>
    <t>PSI</t>
  </si>
  <si>
    <t>Output Parameters</t>
  </si>
  <si>
    <t>Powder Charge</t>
  </si>
  <si>
    <t>Load Density</t>
  </si>
  <si>
    <t>gn/gn</t>
  </si>
  <si>
    <t>Mass Ratio (pow./bullet)</t>
  </si>
  <si>
    <t>Muzzle Velocity</t>
  </si>
  <si>
    <t>m/s</t>
  </si>
  <si>
    <t>fps</t>
  </si>
  <si>
    <t>Muzzle Energy</t>
  </si>
  <si>
    <t>J</t>
  </si>
  <si>
    <t>ft-lbs</t>
  </si>
  <si>
    <t>Total Weight</t>
  </si>
  <si>
    <t>Powder Weight</t>
  </si>
  <si>
    <t>Projectile Weight</t>
  </si>
  <si>
    <t>Weigt per unit</t>
  </si>
  <si>
    <t>1/Kg</t>
  </si>
  <si>
    <t>1/lbs</t>
  </si>
  <si>
    <t>Weight per unit (5.56x45)</t>
  </si>
  <si>
    <t>Weight per unit (7.62x39)</t>
  </si>
  <si>
    <t>Weight per unit (7.62x51)</t>
  </si>
  <si>
    <t>Neck Tension</t>
  </si>
  <si>
    <t>Wall Thickenss at fillet</t>
  </si>
  <si>
    <t>Taper Angle (γ)</t>
  </si>
  <si>
    <t>Mouth Diameter (Empty)</t>
  </si>
  <si>
    <t>Virtual Pressure Coefficent</t>
  </si>
  <si>
    <t>Enhanced Penetration</t>
  </si>
  <si>
    <t>EP</t>
  </si>
  <si>
    <t>Steel Core</t>
  </si>
  <si>
    <t>Ogival Length</t>
  </si>
  <si>
    <t>Base Position</t>
  </si>
  <si>
    <t>End Position</t>
  </si>
  <si>
    <t>End Diameter</t>
  </si>
  <si>
    <t>Tip Position</t>
  </si>
  <si>
    <t>Tip Angle</t>
  </si>
  <si>
    <t>Base Cavity Depth</t>
  </si>
  <si>
    <t>Cavity Bottom Position</t>
  </si>
  <si>
    <t>Cavity Angle</t>
  </si>
  <si>
    <t>Lead Core</t>
  </si>
  <si>
    <t>Mass</t>
  </si>
  <si>
    <t>Jacket Weight</t>
  </si>
  <si>
    <t>Steel Density</t>
  </si>
  <si>
    <t>Air Pocket Volume</t>
  </si>
  <si>
    <t>Tungsten Carbide Density</t>
  </si>
  <si>
    <t>Air Pocket</t>
  </si>
  <si>
    <t>AP</t>
  </si>
  <si>
    <t>Straight Section Diameter</t>
  </si>
  <si>
    <t>Nose End Diameter</t>
  </si>
  <si>
    <t>Straight Section Base Pos.</t>
  </si>
  <si>
    <t>Straight Section Length</t>
  </si>
  <si>
    <t>Conical Tip Length</t>
  </si>
  <si>
    <t>Rounded Tail Length</t>
  </si>
  <si>
    <t>Ogival Nose End Position</t>
  </si>
  <si>
    <t>Strip Length</t>
  </si>
  <si>
    <t>Strip Width</t>
  </si>
  <si>
    <t>Strip Thickness</t>
  </si>
  <si>
    <t>Strip Forward Position</t>
  </si>
  <si>
    <t>Strip Backward Position</t>
  </si>
  <si>
    <t>Armor Piercing</t>
  </si>
  <si>
    <t>Plastic Density</t>
  </si>
  <si>
    <t>Green</t>
  </si>
  <si>
    <t>Standard Fill Volume</t>
  </si>
  <si>
    <t>Powder Type</t>
  </si>
  <si>
    <t>Wall Thickenss Coefficent</t>
  </si>
  <si>
    <t>FMJ</t>
  </si>
  <si>
    <t>Projectile Type</t>
  </si>
  <si>
    <t>Enhanced Armor Piercing</t>
  </si>
  <si>
    <t>EAP</t>
  </si>
  <si>
    <t>Black</t>
  </si>
  <si>
    <t>Tungsten Carbide Core</t>
  </si>
  <si>
    <t>Cup Length</t>
  </si>
  <si>
    <t>Nose Liner End Diameter</t>
  </si>
  <si>
    <t>Liner Length</t>
  </si>
  <si>
    <t>Cup Fillet End Diameter</t>
  </si>
  <si>
    <t>Tail Section Length</t>
  </si>
  <si>
    <t>Tail Section End Diameter</t>
  </si>
  <si>
    <t>Tail Section End Pos.</t>
  </si>
  <si>
    <t>Tail Angle</t>
  </si>
  <si>
    <t>Jacketed Ballistic Point</t>
  </si>
  <si>
    <t>JBP</t>
  </si>
  <si>
    <t>Plastic</t>
  </si>
  <si>
    <t>Number of Lugs</t>
  </si>
  <si>
    <t>N</t>
  </si>
  <si>
    <t>Maximum Bolt Thrust</t>
  </si>
  <si>
    <t>Material Elastic Modulus</t>
  </si>
  <si>
    <t>Shear Stress</t>
  </si>
  <si>
    <t>Lug Joint Arc Length</t>
  </si>
  <si>
    <t>Lug Joint Axial Length</t>
  </si>
  <si>
    <t>Lug Joint Area</t>
  </si>
  <si>
    <t xml:space="preserve">Lug Shear Strength </t>
  </si>
  <si>
    <t>Proof Load Bolt Thrust</t>
  </si>
  <si>
    <t>Case Internal Area</t>
  </si>
  <si>
    <t>Max Load Pressure</t>
  </si>
  <si>
    <t>Bolt Thrust (proof load)</t>
  </si>
  <si>
    <t>Proof Load Pressure</t>
  </si>
  <si>
    <t>Case Internal Diameter</t>
  </si>
  <si>
    <t>Bolt Face Stress</t>
  </si>
  <si>
    <t>Bolt/Case Contact Area</t>
  </si>
  <si>
    <t>Bolt Lug</t>
  </si>
  <si>
    <t>Upset Shear Strength</t>
  </si>
  <si>
    <t>Shear Strength</t>
  </si>
  <si>
    <t>Lug Upset Coefficent</t>
  </si>
  <si>
    <t>Projectile Diameter (mm)</t>
  </si>
  <si>
    <t>Nose Form Factor</t>
  </si>
  <si>
    <t>Body Form Factor</t>
  </si>
  <si>
    <t>Max. Working Pressure (MPa)</t>
  </si>
  <si>
    <t>Name</t>
  </si>
  <si>
    <t>Metric Designation</t>
  </si>
  <si>
    <t>9 mm Parabellum</t>
  </si>
  <si>
    <t>.357 SIG</t>
  </si>
  <si>
    <t>10 mm Auto</t>
  </si>
  <si>
    <t>.40 S&amp;W</t>
  </si>
  <si>
    <t>7.62 Tokarev</t>
  </si>
  <si>
    <t>.45 Win. Mag.</t>
  </si>
  <si>
    <t>.357 S&amp;W Mag.</t>
  </si>
  <si>
    <t>.500 S&amp;W Mag.</t>
  </si>
  <si>
    <t>.460 S&amp;W Mag.</t>
  </si>
  <si>
    <t>.45 Colt</t>
  </si>
  <si>
    <t>.454 Casull</t>
  </si>
  <si>
    <t>Leade Diameter</t>
  </si>
  <si>
    <t>.25 ACP</t>
  </si>
  <si>
    <t>.32 ACP</t>
  </si>
  <si>
    <t>9 mm Makarov</t>
  </si>
  <si>
    <t>5.56 NATO</t>
  </si>
  <si>
    <t>5.56x45 mm</t>
  </si>
  <si>
    <t>Lock lug contact area</t>
  </si>
  <si>
    <t>Lug cotact area stress</t>
  </si>
  <si>
    <t>Frame Side Area</t>
  </si>
  <si>
    <t>Frame Side Stress</t>
  </si>
  <si>
    <t>Cm3</t>
  </si>
  <si>
    <t>.45 GAP</t>
  </si>
  <si>
    <t>9 mm Winchester</t>
  </si>
  <si>
    <t>Gas Expansion Ratio</t>
  </si>
  <si>
    <t>.50 BMG</t>
  </si>
  <si>
    <t>12.7x99 mm</t>
  </si>
  <si>
    <t>7.62 NATO</t>
  </si>
  <si>
    <t>7.62x51 mm</t>
  </si>
  <si>
    <t>.30-06 Springfield</t>
  </si>
  <si>
    <t>7.62x63 mm</t>
  </si>
  <si>
    <t>5.45 Soviet</t>
  </si>
  <si>
    <t>7.62 Soviet</t>
  </si>
  <si>
    <t>7.62 Russian</t>
  </si>
  <si>
    <t>Tip Offset</t>
  </si>
  <si>
    <t>No</t>
  </si>
  <si>
    <t>Case Mouth Setback</t>
  </si>
  <si>
    <t>Total Case Capacity</t>
  </si>
  <si>
    <t>Effective Capacity</t>
  </si>
  <si>
    <t>Net Capacity</t>
  </si>
  <si>
    <t>Shoulder Set Forward at</t>
  </si>
  <si>
    <t>Yes at</t>
  </si>
  <si>
    <t>7.62x60 mm</t>
  </si>
  <si>
    <t>9.6x66 mm</t>
  </si>
  <si>
    <t>Bullet diameter</t>
  </si>
  <si>
    <t>Nose length</t>
  </si>
  <si>
    <t>Meplat diameter</t>
  </si>
  <si>
    <t>Specific Gravity</t>
  </si>
  <si>
    <t>Climatic conditions</t>
  </si>
  <si>
    <t>(least favorable case)</t>
  </si>
  <si>
    <t>Temperature</t>
  </si>
  <si>
    <t>C</t>
  </si>
  <si>
    <t>Humidity</t>
  </si>
  <si>
    <t>%</t>
  </si>
  <si>
    <t>mBar</t>
  </si>
  <si>
    <t>Air pressure</t>
  </si>
  <si>
    <t>Boat Tail Angle</t>
  </si>
  <si>
    <t>Tail Fillet End position</t>
  </si>
  <si>
    <t>Nose Base Position</t>
  </si>
  <si>
    <t>Shank Base Position X</t>
  </si>
  <si>
    <t>Ogival Nose End position</t>
  </si>
  <si>
    <t>Nose Tip position</t>
  </si>
  <si>
    <t>Shank End Position</t>
  </si>
  <si>
    <t>Nose Base Position X</t>
  </si>
  <si>
    <t>Tail Base Position X</t>
  </si>
  <si>
    <t>Shank Base position</t>
  </si>
  <si>
    <t>Cannelure</t>
  </si>
  <si>
    <t>Yes</t>
  </si>
  <si>
    <t>Conical Tail End Diameter</t>
  </si>
  <si>
    <t>Tail End Diameter</t>
  </si>
  <si>
    <t>Straight Section End Pos.</t>
  </si>
  <si>
    <t>Conical Tail End Position</t>
  </si>
  <si>
    <t>Conical Tail Base position</t>
  </si>
  <si>
    <t>Conical Tail End position</t>
  </si>
  <si>
    <t>Conical Tail Length</t>
  </si>
  <si>
    <t>Lead Liner &amp; Cap</t>
  </si>
  <si>
    <t>Conical Cup Length</t>
  </si>
  <si>
    <t>Cup Fillet Protrusion</t>
  </si>
  <si>
    <t>Conical Cup Base Pos.</t>
  </si>
  <si>
    <t>Conical Cup End Pos</t>
  </si>
  <si>
    <t>Conicall Cup End Diameter</t>
  </si>
  <si>
    <t>Straight Liner Base Pos</t>
  </si>
  <si>
    <t>Straight Liner End Pos</t>
  </si>
  <si>
    <t>Ogival Liner End Pos</t>
  </si>
  <si>
    <t>Alluminum Cap</t>
  </si>
  <si>
    <t>Internal measurements</t>
  </si>
  <si>
    <t>Inner Shoulder Angle</t>
  </si>
  <si>
    <t>Corner Wall Thickness</t>
  </si>
  <si>
    <t>External measurements</t>
  </si>
  <si>
    <t>Internal Measurements</t>
  </si>
  <si>
    <t>Internal Diameter</t>
  </si>
  <si>
    <t>Inner Neck Length</t>
  </si>
  <si>
    <t>Inner Shoulder Length</t>
  </si>
  <si>
    <t>Shoulder Length (L2-L1)</t>
  </si>
  <si>
    <t>Corner Length</t>
  </si>
  <si>
    <t>Blue</t>
  </si>
  <si>
    <t>Jacketed Soft Point</t>
  </si>
  <si>
    <t>Lead</t>
  </si>
  <si>
    <t>JSP</t>
  </si>
  <si>
    <t>Opening Inner Pos.</t>
  </si>
  <si>
    <t>Angle at Opening</t>
  </si>
  <si>
    <t>Opening Outer Pos.</t>
  </si>
  <si>
    <t>Ogival Nose End Pos.</t>
  </si>
  <si>
    <t>Nose Base Pos. x</t>
  </si>
  <si>
    <t>Nose Tip Pos.</t>
  </si>
  <si>
    <t>Conical Tail Base Pos.</t>
  </si>
  <si>
    <t>Conical Tail End Pos.</t>
  </si>
  <si>
    <t>Tail Fillet End Pos.</t>
  </si>
  <si>
    <t>Total Volume</t>
  </si>
  <si>
    <t>Nose Base Pos.</t>
  </si>
  <si>
    <t>Internal Nose Length</t>
  </si>
  <si>
    <t>Transitional Nose Length</t>
  </si>
  <si>
    <t>External Nose Length</t>
  </si>
  <si>
    <t>Tail Center of Mass</t>
  </si>
  <si>
    <t>Shank Center of Mass</t>
  </si>
  <si>
    <t>Nose Center of Mass</t>
  </si>
  <si>
    <t>Type</t>
  </si>
  <si>
    <t>Density</t>
  </si>
  <si>
    <t>Total</t>
  </si>
  <si>
    <t>Shank End Pos.</t>
  </si>
  <si>
    <t>Aluminum Density</t>
  </si>
  <si>
    <t>Aluminum Cup &amp; Liner</t>
  </si>
  <si>
    <t>Shank End Pos</t>
  </si>
  <si>
    <t>Nose End Pos.</t>
  </si>
  <si>
    <t>Nose Cavity Bottom Pos.</t>
  </si>
  <si>
    <t>Nose Cavity Diameter</t>
  </si>
  <si>
    <t>Cavity Volume</t>
  </si>
  <si>
    <t>Cavity Depth</t>
  </si>
  <si>
    <t>Plastic Tip</t>
  </si>
  <si>
    <t>Bottom Position</t>
  </si>
  <si>
    <t>Cylindrical End Pos.</t>
  </si>
  <si>
    <t>Conical End Pos.</t>
  </si>
  <si>
    <t>Transitional End Pos.</t>
  </si>
  <si>
    <t>Ogival End Pos.</t>
  </si>
  <si>
    <t>Tip Pos.</t>
  </si>
  <si>
    <t>Cylindrical Length</t>
  </si>
  <si>
    <t>Conical Length</t>
  </si>
  <si>
    <t>Transitional Length</t>
  </si>
  <si>
    <t>Tip Length</t>
  </si>
  <si>
    <t>Cylindrical Diameter</t>
  </si>
  <si>
    <t>Conical Base Diameter</t>
  </si>
  <si>
    <t>Transitional Inner Diameter</t>
  </si>
  <si>
    <t>Transitional Outer Diameter</t>
  </si>
  <si>
    <t>Ogival End Diameter</t>
  </si>
  <si>
    <t>.338 Lapua</t>
  </si>
  <si>
    <t>5.7 FN</t>
  </si>
  <si>
    <t>4.6 H&amp;K</t>
  </si>
  <si>
    <t>4.6x30 mm</t>
  </si>
  <si>
    <t>6.8 SPC</t>
  </si>
  <si>
    <t>Initial Shank Form Factor</t>
  </si>
  <si>
    <t>Final Shank Form Factor</t>
  </si>
  <si>
    <t>6.5 Grendel</t>
  </si>
  <si>
    <t>12.7 Soviet</t>
  </si>
  <si>
    <t>14.5 Soviet</t>
  </si>
  <si>
    <t>12.7x108 mm</t>
  </si>
  <si>
    <t>14.5x114 mm</t>
  </si>
  <si>
    <t>8x57 mm</t>
  </si>
  <si>
    <t>6.5 Swedish</t>
  </si>
  <si>
    <t>9.9x23 mm</t>
  </si>
  <si>
    <t>Nose Angle</t>
  </si>
  <si>
    <t>Conical Nose End Pos.</t>
  </si>
  <si>
    <t>Meplat Pos.</t>
  </si>
  <si>
    <t>Conical Nose Length</t>
  </si>
  <si>
    <t>Tail Fillet Radius</t>
  </si>
  <si>
    <t>Nose Fillet Position X</t>
  </si>
  <si>
    <t>Nose Fillet Position Y</t>
  </si>
  <si>
    <t>Conical Nose End Diameter</t>
  </si>
  <si>
    <t>JFN</t>
  </si>
  <si>
    <t>Jacketed Flat Nose</t>
  </si>
  <si>
    <t>Tail End Pos.</t>
  </si>
  <si>
    <t>Meplat Diameter</t>
  </si>
  <si>
    <t>Relative Meplat Area</t>
  </si>
  <si>
    <t>Shank Diameter</t>
  </si>
  <si>
    <t>Jacketed Flat Point</t>
  </si>
  <si>
    <t>JFP</t>
  </si>
  <si>
    <t>Plain</t>
  </si>
  <si>
    <t>Jacketed Hollowpoint</t>
  </si>
  <si>
    <t>Hollow</t>
  </si>
  <si>
    <t>JHP</t>
  </si>
  <si>
    <t>Hard Cast Flat Point</t>
  </si>
  <si>
    <t>HCFP</t>
  </si>
  <si>
    <t>9.9x22 mm</t>
  </si>
  <si>
    <t>9.9x28 mm</t>
  </si>
  <si>
    <t>Frontal Cavity Diameter</t>
  </si>
  <si>
    <t>Relative Frontal Cavity Area</t>
  </si>
  <si>
    <t>Bottom Cavity Pos.</t>
  </si>
  <si>
    <t>Hardball Alloy Density</t>
  </si>
  <si>
    <t>Opening Inner Diameter</t>
  </si>
  <si>
    <t>Opening Outer Diameter</t>
  </si>
  <si>
    <t>Covered Nose Length</t>
  </si>
  <si>
    <t>Transition Nose Length</t>
  </si>
  <si>
    <t>Exposed Conical Nose Length</t>
  </si>
  <si>
    <t>11.3x22 mm</t>
  </si>
  <si>
    <t>11.3x27 mm</t>
  </si>
  <si>
    <t>8x41 mm</t>
  </si>
  <si>
    <t>8x50 mm</t>
  </si>
  <si>
    <t>7.62 NATO M118</t>
  </si>
  <si>
    <t>Chamber volume</t>
  </si>
  <si>
    <t>Bore Volume</t>
  </si>
  <si>
    <t>Mach</t>
  </si>
  <si>
    <t>9.6x51 mm</t>
  </si>
  <si>
    <t>12.7x94 mm</t>
  </si>
  <si>
    <t>8.38x66 mm</t>
  </si>
  <si>
    <t>9.6x33 mm</t>
  </si>
  <si>
    <t>11.43x93 mm</t>
  </si>
  <si>
    <t>12.7x69 mm</t>
  </si>
  <si>
    <t>7.62x64 mm</t>
  </si>
  <si>
    <t>9.3 Brenneke</t>
  </si>
  <si>
    <t>9.3x64 mm</t>
  </si>
  <si>
    <t>6.22x16 mm SR</t>
  </si>
  <si>
    <t>8.79x25 mm</t>
  </si>
  <si>
    <t>8.79x20 mm</t>
  </si>
  <si>
    <t>8.79x19 mm</t>
  </si>
  <si>
    <t>8.79x22 mm</t>
  </si>
  <si>
    <t>8.79x23 mm</t>
  </si>
  <si>
    <t>9.3 Mauser</t>
  </si>
  <si>
    <t>9.3x62 mm</t>
  </si>
  <si>
    <t>7 mm Mauser</t>
  </si>
  <si>
    <t>8.84x33 mm R</t>
  </si>
  <si>
    <t>8.79x17 mm SR</t>
  </si>
  <si>
    <t>6.86x50 mm</t>
  </si>
  <si>
    <t>6.86x41 mm</t>
  </si>
  <si>
    <t>6.86x59 mm</t>
  </si>
  <si>
    <t>9.04x18 mm</t>
  </si>
  <si>
    <t>6.86x43 mm</t>
  </si>
  <si>
    <t>9.9x25 mm</t>
  </si>
  <si>
    <t>11.3x19 mm</t>
  </si>
  <si>
    <t>11.3x23 mm</t>
  </si>
  <si>
    <t>.460 Rowland</t>
  </si>
  <si>
    <t>11.3x24 mm</t>
  </si>
  <si>
    <t>11.3x30 mm</t>
  </si>
  <si>
    <t>12.5x33 mm</t>
  </si>
  <si>
    <t>.50 AE</t>
  </si>
  <si>
    <t>.327 Fed. Mag.</t>
  </si>
  <si>
    <t>7.72x30 mm R</t>
  </si>
  <si>
    <t>7.72x17 mm SR</t>
  </si>
  <si>
    <t>7.72x39 mm</t>
  </si>
  <si>
    <t>7.72x54 mm R</t>
  </si>
  <si>
    <t>10.16x33 mm R</t>
  </si>
  <si>
    <t>10.62x33 mm R</t>
  </si>
  <si>
    <t>11.3x33 mm R</t>
  </si>
  <si>
    <t>12.5x41 mm R</t>
  </si>
  <si>
    <t>11.3x35 mm R</t>
  </si>
  <si>
    <t>11.3x46 mm R</t>
  </si>
  <si>
    <t>.243 Winchester</t>
  </si>
  <si>
    <t>6x52 mm</t>
  </si>
  <si>
    <t>.260 Remington</t>
  </si>
  <si>
    <t>7x52 mm</t>
  </si>
  <si>
    <t>7 mm-08 Rem.</t>
  </si>
  <si>
    <t>8.38x70 mm</t>
  </si>
  <si>
    <t>5.56x28 mm</t>
  </si>
  <si>
    <t>.338 Federal</t>
  </si>
  <si>
    <t>8.38x51 mm</t>
  </si>
  <si>
    <t>.358 Winchester</t>
  </si>
  <si>
    <t>8.86x51 mm</t>
  </si>
  <si>
    <t>.284 Winchester</t>
  </si>
  <si>
    <t>7x55 mm</t>
  </si>
  <si>
    <t>6.5-284 Norma</t>
  </si>
  <si>
    <t>.270 Winchester</t>
  </si>
  <si>
    <t>6.86x65 mm</t>
  </si>
  <si>
    <t>7 mm Brenneke</t>
  </si>
  <si>
    <t>.35 Whellen</t>
  </si>
  <si>
    <t>8.86x63 mm</t>
  </si>
  <si>
    <t>.25-06</t>
  </si>
  <si>
    <t>6.35x64 mm</t>
  </si>
  <si>
    <t>5.56x41 mm</t>
  </si>
  <si>
    <t>5.56x22 mm</t>
  </si>
  <si>
    <t>7.06x57 mm</t>
  </si>
  <si>
    <t>7.06x64 mm</t>
  </si>
  <si>
    <t>6.5x68 mm</t>
  </si>
  <si>
    <t>8x68 mm</t>
  </si>
  <si>
    <t>8x68 mm S</t>
  </si>
  <si>
    <t>Sengment 2 Fillet</t>
  </si>
  <si>
    <t>8.86x61 mm</t>
  </si>
  <si>
    <t>7.04x49 mm</t>
  </si>
  <si>
    <t>7.04x40 mm</t>
  </si>
  <si>
    <t>Ogive Type</t>
  </si>
  <si>
    <t>Rotating Band Diameter</t>
  </si>
  <si>
    <t>Ogive radius</t>
  </si>
  <si>
    <t xml:space="preserve">Total Length </t>
  </si>
  <si>
    <t>Boat Tail Length</t>
  </si>
  <si>
    <t>Conical</t>
  </si>
  <si>
    <t>Ogive</t>
  </si>
  <si>
    <t>cm</t>
  </si>
  <si>
    <t>Barrel Twist</t>
  </si>
  <si>
    <t>Drag Function</t>
  </si>
  <si>
    <t>Velocity</t>
  </si>
  <si>
    <t>Stability Factor</t>
  </si>
  <si>
    <t>Caliber</t>
  </si>
  <si>
    <t>cal</t>
  </si>
  <si>
    <t>Altitude</t>
  </si>
  <si>
    <t>m</t>
  </si>
  <si>
    <t>Weapon Recoil</t>
  </si>
  <si>
    <t>Bullet Stability</t>
  </si>
  <si>
    <t>Plastic Tip Length</t>
  </si>
  <si>
    <t>Charge Weight</t>
  </si>
  <si>
    <t>Firearm Weight</t>
  </si>
  <si>
    <t>kg</t>
  </si>
  <si>
    <t>Recoil Velocity</t>
  </si>
  <si>
    <t>Recoil Impulse</t>
  </si>
  <si>
    <t>Recoil Energy</t>
  </si>
  <si>
    <t>N*s</t>
  </si>
  <si>
    <t>Compared</t>
  </si>
  <si>
    <t>5.56x45 mm M855</t>
  </si>
  <si>
    <t>7.62x39 mm M43</t>
  </si>
  <si>
    <t>&gt;1000</t>
  </si>
  <si>
    <t>&gt;410</t>
  </si>
  <si>
    <t>&lt;1</t>
  </si>
  <si>
    <t>s</t>
  </si>
  <si>
    <t>Criteria</t>
  </si>
  <si>
    <t>Energy</t>
  </si>
  <si>
    <t>&lt;1.5</t>
  </si>
  <si>
    <t>Effective Range (AR)</t>
  </si>
  <si>
    <t>Effective Range (SR,MG)</t>
  </si>
  <si>
    <t>SR</t>
  </si>
  <si>
    <t>AR,MG</t>
  </si>
  <si>
    <t>Flight Time</t>
  </si>
  <si>
    <t>Bullet Drag</t>
  </si>
  <si>
    <t>Bullet Trajectory</t>
  </si>
  <si>
    <t>Load Data</t>
  </si>
  <si>
    <t>6.04x39 mm</t>
  </si>
  <si>
    <t>6.04x26 mm</t>
  </si>
  <si>
    <t>9.9x18 mm</t>
  </si>
  <si>
    <t>8.79x30 mm</t>
  </si>
  <si>
    <t>Drag Coefficent (CD)</t>
  </si>
  <si>
    <t>5.84x42 mm</t>
  </si>
  <si>
    <t>5.46x39 mm</t>
  </si>
  <si>
    <t>6.53x38 mm</t>
  </si>
  <si>
    <t>6.53x52 mm</t>
  </si>
  <si>
    <t>6.53x55 mm</t>
  </si>
  <si>
    <t>6.53x68 mm</t>
  </si>
  <si>
    <t>6.86x47 mm</t>
  </si>
  <si>
    <t>Case</t>
  </si>
  <si>
    <t>Custom Model Parameters</t>
  </si>
  <si>
    <t>Predefined Model Parameters</t>
  </si>
  <si>
    <t>Case type</t>
  </si>
  <si>
    <t>Case head</t>
  </si>
  <si>
    <t>Cartridge</t>
  </si>
  <si>
    <t>Custom</t>
  </si>
  <si>
    <t>Predefined</t>
  </si>
  <si>
    <t>Predefined cartridge</t>
  </si>
  <si>
    <t>Case Type</t>
  </si>
  <si>
    <t>Value</t>
  </si>
  <si>
    <t>Shoulder set forward</t>
  </si>
  <si>
    <t>Case Head Length €</t>
  </si>
  <si>
    <t>Designation</t>
  </si>
  <si>
    <t>Case Material</t>
  </si>
  <si>
    <t>Brass</t>
  </si>
  <si>
    <t>Steel</t>
  </si>
  <si>
    <t>Brass Density</t>
  </si>
  <si>
    <t>Case head defined</t>
  </si>
  <si>
    <t>Defined</t>
  </si>
  <si>
    <t>Case capacity gained</t>
  </si>
  <si>
    <t>Thin case for solid propellant</t>
  </si>
  <si>
    <t>Case Weight saved</t>
  </si>
  <si>
    <t>7.62x51 mm M61</t>
  </si>
  <si>
    <t>Shoulder Intersection (S)</t>
  </si>
  <si>
    <t>Neck Diameter (ØH2)</t>
  </si>
  <si>
    <t>Distance to Neck (L2)</t>
  </si>
  <si>
    <t>Distance to Shoulder (L1)</t>
  </si>
  <si>
    <t>Projectile Diameter (ØG1)</t>
  </si>
  <si>
    <t>Total Case Length (L3)</t>
  </si>
  <si>
    <t>Shoulder fillet radius (r1)</t>
  </si>
  <si>
    <t>Neck fillet radius (r2)</t>
  </si>
  <si>
    <t>Case capacity</t>
  </si>
  <si>
    <t>Case weight</t>
  </si>
  <si>
    <t>15.32x112 mm</t>
  </si>
  <si>
    <t>Projectile Diameter (ØG2)</t>
  </si>
  <si>
    <t>Complete parameters</t>
  </si>
  <si>
    <t>Case Shape</t>
  </si>
  <si>
    <t>7.7x25 mm</t>
  </si>
  <si>
    <t>5.56 mm PDW@</t>
  </si>
  <si>
    <t>10 mm S@</t>
  </si>
  <si>
    <t>6 mm PDW@</t>
  </si>
  <si>
    <t>9 mm L@</t>
  </si>
  <si>
    <t>10 mm M@</t>
  </si>
  <si>
    <t>.45 MS@</t>
  </si>
  <si>
    <t>.615 LXMS@</t>
  </si>
  <si>
    <t>.50 LHMS@</t>
  </si>
  <si>
    <t>.50 LMRS@</t>
  </si>
  <si>
    <t>.338 LMRS@</t>
  </si>
  <si>
    <t>9.6 LMRS@</t>
  </si>
  <si>
    <t>.358 LSRS@</t>
  </si>
  <si>
    <t>7.62 mm LSRS@</t>
  </si>
  <si>
    <t>.277 LSRS@</t>
  </si>
  <si>
    <t>9.6 mm LBRS@</t>
  </si>
  <si>
    <t>7.62 NATO XL@</t>
  </si>
  <si>
    <t>.277 LBRS@</t>
  </si>
  <si>
    <t>7 mm LBRS@</t>
  </si>
  <si>
    <t>.277-08@</t>
  </si>
  <si>
    <t>8 mm LARS@</t>
  </si>
  <si>
    <t>.277 LARS@</t>
  </si>
  <si>
    <t>7 mm LARS@</t>
  </si>
  <si>
    <t>6 mm LARS@</t>
  </si>
  <si>
    <t>9.6 mm SS@</t>
  </si>
  <si>
    <t>5.56 NATO XL@</t>
  </si>
  <si>
    <t>.45 M@</t>
  </si>
  <si>
    <t>10 mm L@</t>
  </si>
  <si>
    <t>.45 S@</t>
  </si>
  <si>
    <t>8 mm LBRS@</t>
  </si>
  <si>
    <t>7.62 LMRS@</t>
  </si>
  <si>
    <t>.458 LHMS@</t>
  </si>
  <si>
    <t>5.56 mm LARS@</t>
  </si>
  <si>
    <t>9 mm M@</t>
  </si>
  <si>
    <t>10 mm MS@</t>
  </si>
  <si>
    <t>.45 Super</t>
  </si>
  <si>
    <t>.44 Rem. Mag.</t>
  </si>
  <si>
    <t>.41 Rem. Mag.</t>
  </si>
  <si>
    <t>.38 Super</t>
  </si>
  <si>
    <t>8.79x23 mm SR</t>
  </si>
  <si>
    <t>7.65 mm Parabellum</t>
  </si>
  <si>
    <t>7.65x21 mm</t>
  </si>
  <si>
    <t>7.62 mm L@</t>
  </si>
  <si>
    <t>7.62x21 mm</t>
  </si>
  <si>
    <t>.38 Special</t>
  </si>
  <si>
    <t>8.84x29 mm R</t>
  </si>
  <si>
    <t>.380 ACP</t>
  </si>
  <si>
    <t>.44 Special</t>
  </si>
  <si>
    <t>.480 Ruger</t>
  </si>
  <si>
    <t>10.62x29 mm R</t>
  </si>
  <si>
    <t>11.89x33 mm R</t>
  </si>
  <si>
    <t>11.43x54 mm R</t>
  </si>
  <si>
    <t>.45-70 Gov. (modern)</t>
  </si>
  <si>
    <t>9 mm LX@</t>
  </si>
  <si>
    <t>.30 Carbine</t>
  </si>
  <si>
    <t>7.62x33 mm</t>
  </si>
  <si>
    <t>7.92 mm Kurz</t>
  </si>
  <si>
    <t>7.92 mm Mauser</t>
  </si>
  <si>
    <t>8x33 mm</t>
  </si>
  <si>
    <t>.303 British</t>
  </si>
  <si>
    <t>7.72x56 mm R</t>
  </si>
  <si>
    <t>.22-250 Remington</t>
  </si>
  <si>
    <t>5.56x48 mm</t>
  </si>
  <si>
    <t>7.5 mm Swiss</t>
  </si>
  <si>
    <t>7.59x55 mm</t>
  </si>
  <si>
    <t>7.75x54 mm</t>
  </si>
  <si>
    <t>7.65 Argentine</t>
  </si>
  <si>
    <t>5.8 mm DBP10</t>
  </si>
  <si>
    <t>5.8 mm DBP88</t>
  </si>
  <si>
    <t>5.8 DAP 92</t>
  </si>
  <si>
    <t>5.84x21 mm</t>
  </si>
  <si>
    <t>.17 Libra</t>
  </si>
  <si>
    <t>4.17x30 mm</t>
  </si>
  <si>
    <t>7.92 mm VBR</t>
  </si>
  <si>
    <t>7.72x24 mm</t>
  </si>
  <si>
    <t>7.62 mm M@</t>
  </si>
  <si>
    <t>4.8 mm PDW@</t>
  </si>
  <si>
    <t>4.8x19 mm</t>
  </si>
  <si>
    <t>4.8x35 mm</t>
  </si>
  <si>
    <t>4.8 mm LORS@</t>
  </si>
  <si>
    <t>7.06x43 mm</t>
  </si>
  <si>
    <t>.280 British</t>
  </si>
  <si>
    <t>.276 Pedersen</t>
  </si>
  <si>
    <t>7.04x51 mm</t>
  </si>
  <si>
    <t>7.62 mm Czech</t>
  </si>
  <si>
    <t>7.65x45 mm</t>
  </si>
  <si>
    <t>7.92 mm Mauser s.S.</t>
  </si>
  <si>
    <t>IMR 4895</t>
  </si>
  <si>
    <t>Exposed Steel Core</t>
  </si>
  <si>
    <t>ESC</t>
  </si>
  <si>
    <t>Lead Core Length</t>
  </si>
  <si>
    <t>Steel Core Length</t>
  </si>
  <si>
    <t>Bronze</t>
  </si>
  <si>
    <t>.264 USA</t>
  </si>
  <si>
    <t>6.53x48 mm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</si>
</sst>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
    <numFmt numFmtId="167" formatCode="#,##0.000"/>
    <numFmt numFmtId="168" formatCode="0.0000"/>
    <numFmt numFmtId="169" formatCode="0.000000"/>
    <numFmt numFmtId="170" formatCode="0.00000000000000"/>
  </numFmts>
  <fonts count="29" x14ac:knownFonts="1">
    <font>
      <sz val="11"/>
      <color theme="1"/>
      <name val="Calibri"/>
      <family val="2"/>
      <scheme val="minor"/>
    </font>
    <font>
      <sz val="10"/>
      <name val="Arial"/>
      <family val="2"/>
    </font>
    <font>
      <sz val="9"/>
      <color indexed="81"/>
      <name val="Tahoma"/>
      <family val="2"/>
    </font>
    <font>
      <sz val="9"/>
      <color indexed="8"/>
      <name val="Tahoma"/>
      <family val="2"/>
    </font>
    <font>
      <i/>
      <sz val="9"/>
      <color indexed="81"/>
      <name val="Tahoma"/>
      <family val="2"/>
    </font>
    <font>
      <b/>
      <sz val="10"/>
      <color indexed="8"/>
      <name val="Arial"/>
      <family val="2"/>
    </font>
    <font>
      <sz val="10"/>
      <color indexed="8"/>
      <name val="Arial"/>
      <family val="2"/>
    </font>
    <font>
      <b/>
      <u/>
      <sz val="10"/>
      <color indexed="8"/>
      <name val="Arial"/>
      <family val="2"/>
    </font>
    <font>
      <sz val="8"/>
      <name val="Calibri"/>
      <family val="2"/>
    </font>
    <font>
      <sz val="10"/>
      <color indexed="17"/>
      <name val="Arial"/>
      <family val="2"/>
    </font>
    <font>
      <b/>
      <sz val="8"/>
      <color indexed="81"/>
      <name val="Tahoma"/>
      <family val="2"/>
    </font>
    <font>
      <sz val="8"/>
      <color indexed="81"/>
      <name val="Tahoma"/>
      <family val="2"/>
    </font>
    <font>
      <u/>
      <sz val="11"/>
      <color indexed="12"/>
      <name val="Calibri"/>
      <family val="2"/>
    </font>
    <font>
      <b/>
      <sz val="10"/>
      <name val="Arial"/>
      <family val="2"/>
    </font>
    <font>
      <b/>
      <u/>
      <sz val="10"/>
      <name val="Arial"/>
      <family val="2"/>
    </font>
    <font>
      <sz val="10"/>
      <color indexed="30"/>
      <name val="Arial"/>
      <family val="2"/>
    </font>
    <font>
      <u/>
      <sz val="10"/>
      <color indexed="12"/>
      <name val="Arial"/>
      <family val="2"/>
    </font>
    <font>
      <sz val="8"/>
      <color indexed="8"/>
      <name val="Arial"/>
      <family val="2"/>
    </font>
    <font>
      <b/>
      <sz val="8"/>
      <color indexed="8"/>
      <name val="Tahoma"/>
      <family val="2"/>
    </font>
    <font>
      <sz val="8"/>
      <color indexed="8"/>
      <name val="Tahoma"/>
      <family val="2"/>
    </font>
    <font>
      <b/>
      <sz val="10"/>
      <color indexed="9"/>
      <name val="Arial"/>
      <family val="2"/>
    </font>
    <font>
      <sz val="9"/>
      <color indexed="81"/>
      <name val="Arial"/>
      <family val="2"/>
    </font>
    <font>
      <b/>
      <sz val="10"/>
      <color theme="0"/>
      <name val="Arial"/>
      <family val="2"/>
    </font>
    <font>
      <b/>
      <sz val="10"/>
      <color theme="1"/>
      <name val="Arial"/>
      <family val="2"/>
    </font>
    <font>
      <sz val="10"/>
      <color theme="1"/>
      <name val="Arial"/>
      <family val="2"/>
    </font>
    <font>
      <b/>
      <u/>
      <sz val="10"/>
      <color theme="1"/>
      <name val="Arial"/>
      <family val="2"/>
    </font>
    <font>
      <b/>
      <sz val="9"/>
      <color theme="0"/>
      <name val="Arial"/>
      <family val="2"/>
    </font>
    <font>
      <sz val="10"/>
      <color rgb="FF0070C0"/>
      <name val="Arial"/>
      <family val="2"/>
    </font>
    <font>
      <b/>
      <sz val="10"/>
      <color rgb="FF0070C0"/>
      <name val="Arial"/>
      <family val="2"/>
    </font>
  </fonts>
  <fills count="10">
    <fill>
      <patternFill patternType="none"/>
    </fill>
    <fill>
      <patternFill patternType="gray125"/>
    </fill>
    <fill>
      <patternFill patternType="solid">
        <fgColor indexed="17"/>
        <bgColor indexed="64"/>
      </patternFill>
    </fill>
    <fill>
      <patternFill patternType="solid">
        <fgColor theme="1"/>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rgb="FFCC9900"/>
        <bgColor indexed="64"/>
      </patternFill>
    </fill>
  </fills>
  <borders count="1">
    <border>
      <left/>
      <right/>
      <top/>
      <bottom/>
      <diagonal/>
    </border>
  </borders>
  <cellStyleXfs count="2">
    <xf numFmtId="0" fontId="0" fillId="0" borderId="0"/>
    <xf numFmtId="0" fontId="12" fillId="0" borderId="0" applyNumberFormat="0" applyFill="0" applyBorder="0" applyAlignment="0" applyProtection="0">
      <alignment vertical="top"/>
      <protection locked="0"/>
    </xf>
  </cellStyleXfs>
  <cellXfs count="183">
    <xf numFmtId="0" fontId="0" fillId="0" borderId="0" xfId="0"/>
    <xf numFmtId="164" fontId="6" fillId="0" borderId="0" xfId="0" applyNumberFormat="1" applyFont="1"/>
    <xf numFmtId="49" fontId="6" fillId="0" borderId="0" xfId="0" applyNumberFormat="1" applyFont="1"/>
    <xf numFmtId="0" fontId="6" fillId="0" borderId="0" xfId="0" applyFont="1"/>
    <xf numFmtId="49" fontId="5" fillId="0" borderId="0" xfId="0" applyNumberFormat="1" applyFont="1" applyAlignment="1">
      <alignment vertical="center"/>
    </xf>
    <xf numFmtId="164" fontId="6" fillId="0" borderId="0" xfId="0" applyNumberFormat="1" applyFont="1" applyAlignment="1">
      <alignment vertical="center"/>
    </xf>
    <xf numFmtId="49" fontId="6" fillId="0" borderId="0" xfId="0" applyNumberFormat="1" applyFont="1" applyAlignment="1">
      <alignment vertical="center"/>
    </xf>
    <xf numFmtId="0" fontId="1"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lignment vertical="center"/>
    </xf>
    <xf numFmtId="164" fontId="1" fillId="0" borderId="0" xfId="0" applyNumberFormat="1" applyFont="1" applyAlignment="1">
      <alignment vertical="center"/>
    </xf>
    <xf numFmtId="0" fontId="1" fillId="0" borderId="0" xfId="0" applyFont="1" applyAlignment="1">
      <alignment horizontal="center" vertical="center"/>
    </xf>
    <xf numFmtId="0" fontId="6" fillId="0" borderId="0" xfId="0" applyFont="1" applyAlignment="1">
      <alignment vertical="center"/>
    </xf>
    <xf numFmtId="0" fontId="1" fillId="0" borderId="0"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49" fontId="6" fillId="0" borderId="0" xfId="0" applyNumberFormat="1" applyFont="1" applyAlignment="1">
      <alignment horizontal="center" vertical="center"/>
    </xf>
    <xf numFmtId="164" fontId="1" fillId="0" borderId="0" xfId="0" applyNumberFormat="1" applyFont="1" applyAlignment="1" applyProtection="1">
      <alignment vertical="center"/>
    </xf>
    <xf numFmtId="49" fontId="7" fillId="0" borderId="0" xfId="0" applyNumberFormat="1" applyFont="1" applyAlignment="1">
      <alignment vertical="center"/>
    </xf>
    <xf numFmtId="164" fontId="5" fillId="0" borderId="0" xfId="0" applyNumberFormat="1" applyFont="1" applyAlignment="1">
      <alignment vertical="center"/>
    </xf>
    <xf numFmtId="49" fontId="5" fillId="0" borderId="0" xfId="0" applyNumberFormat="1" applyFont="1" applyAlignment="1">
      <alignment horizontal="center" vertical="center"/>
    </xf>
    <xf numFmtId="164" fontId="6" fillId="0" borderId="0" xfId="0" applyNumberFormat="1" applyFont="1" applyFill="1" applyAlignment="1">
      <alignment vertical="center"/>
    </xf>
    <xf numFmtId="164" fontId="5" fillId="0" borderId="0" xfId="0" applyNumberFormat="1" applyFont="1" applyAlignment="1">
      <alignment horizontal="left" vertical="center"/>
    </xf>
    <xf numFmtId="2" fontId="5" fillId="0" borderId="0" xfId="0" applyNumberFormat="1" applyFont="1" applyAlignment="1">
      <alignment vertical="center"/>
    </xf>
    <xf numFmtId="164" fontId="6" fillId="0" borderId="0" xfId="0" applyNumberFormat="1" applyFont="1" applyAlignment="1">
      <alignment horizontal="center" vertical="center"/>
    </xf>
    <xf numFmtId="164" fontId="1" fillId="0" borderId="0" xfId="0" applyNumberFormat="1" applyFont="1" applyFill="1" applyAlignment="1">
      <alignment vertical="center"/>
    </xf>
    <xf numFmtId="164" fontId="9" fillId="0" borderId="0" xfId="0" applyNumberFormat="1" applyFont="1" applyAlignment="1">
      <alignment vertical="center"/>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49" fontId="1" fillId="0" borderId="0" xfId="0" applyNumberFormat="1" applyFont="1" applyAlignment="1">
      <alignment vertical="center"/>
    </xf>
    <xf numFmtId="49" fontId="1" fillId="0" borderId="0" xfId="0" applyNumberFormat="1" applyFont="1" applyAlignment="1" applyProtection="1">
      <alignment vertical="center"/>
    </xf>
    <xf numFmtId="49" fontId="1" fillId="0" borderId="0" xfId="0" applyNumberFormat="1" applyFont="1" applyAlignment="1">
      <alignment horizontal="center" vertical="center"/>
    </xf>
    <xf numFmtId="49" fontId="1" fillId="0" borderId="0" xfId="0" applyNumberFormat="1" applyFont="1" applyAlignment="1" applyProtection="1">
      <alignment horizontal="center" vertical="center"/>
    </xf>
    <xf numFmtId="49" fontId="5" fillId="0" borderId="0" xfId="0" applyNumberFormat="1" applyFont="1"/>
    <xf numFmtId="49" fontId="1" fillId="0" borderId="0" xfId="0" applyNumberFormat="1" applyFont="1"/>
    <xf numFmtId="164" fontId="1" fillId="0" borderId="0" xfId="0" applyNumberFormat="1" applyFont="1"/>
    <xf numFmtId="0" fontId="1" fillId="0" borderId="0" xfId="0" applyFont="1" applyAlignment="1">
      <alignment horizontal="center"/>
    </xf>
    <xf numFmtId="49" fontId="1" fillId="0" borderId="0" xfId="0" applyNumberFormat="1" applyFont="1" applyAlignment="1">
      <alignment horizontal="center"/>
    </xf>
    <xf numFmtId="164" fontId="5" fillId="0" borderId="0" xfId="0" applyNumberFormat="1" applyFont="1"/>
    <xf numFmtId="49" fontId="7" fillId="0" borderId="0" xfId="0" applyNumberFormat="1" applyFont="1"/>
    <xf numFmtId="49" fontId="6" fillId="0" borderId="0" xfId="0" applyNumberFormat="1" applyFont="1" applyAlignment="1">
      <alignment horizontal="center"/>
    </xf>
    <xf numFmtId="2" fontId="5" fillId="0" borderId="0" xfId="0" applyNumberFormat="1" applyFont="1"/>
    <xf numFmtId="164" fontId="5" fillId="0" borderId="0" xfId="0" applyNumberFormat="1" applyFont="1" applyAlignment="1">
      <alignment horizontal="center"/>
    </xf>
    <xf numFmtId="49" fontId="13" fillId="0" borderId="0" xfId="0" applyNumberFormat="1" applyFont="1"/>
    <xf numFmtId="164" fontId="13" fillId="0" borderId="0" xfId="0" applyNumberFormat="1" applyFont="1"/>
    <xf numFmtId="0" fontId="13" fillId="0" borderId="0" xfId="0" applyFont="1" applyAlignment="1">
      <alignment horizontal="center"/>
    </xf>
    <xf numFmtId="0" fontId="1" fillId="0" borderId="0" xfId="0" applyFont="1"/>
    <xf numFmtId="49" fontId="14" fillId="0" borderId="0" xfId="0" applyNumberFormat="1" applyFont="1"/>
    <xf numFmtId="49" fontId="13" fillId="0" borderId="0" xfId="0" applyNumberFormat="1" applyFont="1" applyAlignment="1">
      <alignment horizontal="center"/>
    </xf>
    <xf numFmtId="0" fontId="13" fillId="0" borderId="0" xfId="0" applyFont="1"/>
    <xf numFmtId="1" fontId="6" fillId="0" borderId="0" xfId="0" applyNumberFormat="1" applyFont="1"/>
    <xf numFmtId="165" fontId="6" fillId="0" borderId="0" xfId="0" applyNumberFormat="1" applyFont="1"/>
    <xf numFmtId="0" fontId="6" fillId="0" borderId="0" xfId="0" applyFont="1" applyAlignment="1">
      <alignment horizontal="center"/>
    </xf>
    <xf numFmtId="165" fontId="5" fillId="0" borderId="0" xfId="0" applyNumberFormat="1" applyFont="1"/>
    <xf numFmtId="165" fontId="13" fillId="0" borderId="0" xfId="0" applyNumberFormat="1" applyFont="1"/>
    <xf numFmtId="168" fontId="6" fillId="0" borderId="0" xfId="0" applyNumberFormat="1" applyFont="1"/>
    <xf numFmtId="168" fontId="17" fillId="0" borderId="0" xfId="0" applyNumberFormat="1" applyFont="1"/>
    <xf numFmtId="49" fontId="1" fillId="0" borderId="0" xfId="0" applyNumberFormat="1" applyFont="1" applyAlignment="1">
      <alignment horizontal="left"/>
    </xf>
    <xf numFmtId="165" fontId="1" fillId="0" borderId="0" xfId="0" applyNumberFormat="1" applyFont="1" applyAlignment="1"/>
    <xf numFmtId="49" fontId="6" fillId="0" borderId="0" xfId="0" applyNumberFormat="1" applyFont="1" applyAlignment="1">
      <alignment horizontal="center" vertical="top"/>
    </xf>
    <xf numFmtId="2" fontId="5" fillId="0" borderId="0" xfId="0" applyNumberFormat="1" applyFont="1" applyAlignment="1">
      <alignment horizontal="left" vertical="center"/>
    </xf>
    <xf numFmtId="164" fontId="5" fillId="0" borderId="0" xfId="0" applyNumberFormat="1" applyFont="1" applyAlignment="1">
      <alignment horizontal="center" vertical="center"/>
    </xf>
    <xf numFmtId="49" fontId="1" fillId="0" borderId="0" xfId="0" applyNumberFormat="1" applyFont="1" applyBorder="1"/>
    <xf numFmtId="164" fontId="1" fillId="0" borderId="0" xfId="0" applyNumberFormat="1" applyFont="1" applyBorder="1"/>
    <xf numFmtId="49" fontId="1" fillId="0" borderId="0" xfId="0" applyNumberFormat="1" applyFont="1" applyBorder="1" applyAlignment="1">
      <alignment horizontal="center"/>
    </xf>
    <xf numFmtId="165" fontId="6" fillId="0" borderId="0" xfId="0" applyNumberFormat="1" applyFont="1" applyAlignment="1">
      <alignment vertical="center"/>
    </xf>
    <xf numFmtId="49" fontId="13" fillId="0" borderId="0" xfId="0" applyNumberFormat="1" applyFont="1" applyAlignment="1">
      <alignment horizontal="center" vertical="center"/>
    </xf>
    <xf numFmtId="0" fontId="13" fillId="0" borderId="0" xfId="0" applyFont="1" applyAlignment="1">
      <alignment vertical="center"/>
    </xf>
    <xf numFmtId="2" fontId="13" fillId="0" borderId="0" xfId="0" applyNumberFormat="1" applyFont="1" applyAlignment="1">
      <alignment horizontal="center" vertical="center"/>
    </xf>
    <xf numFmtId="1" fontId="13" fillId="0" borderId="0" xfId="0" applyNumberFormat="1" applyFont="1" applyAlignment="1">
      <alignment horizontal="center" vertical="center"/>
    </xf>
    <xf numFmtId="0" fontId="13" fillId="0" borderId="0" xfId="0" applyFont="1" applyAlignment="1">
      <alignment horizontal="right" vertical="center"/>
    </xf>
    <xf numFmtId="49" fontId="13" fillId="0" borderId="0" xfId="0" applyNumberFormat="1" applyFont="1" applyAlignment="1">
      <alignment horizontal="right" vertical="center"/>
    </xf>
    <xf numFmtId="0" fontId="6" fillId="0" borderId="0" xfId="0" applyFont="1" applyAlignment="1">
      <alignment horizontal="center" vertical="center"/>
    </xf>
    <xf numFmtId="166" fontId="6" fillId="0" borderId="0" xfId="0" applyNumberFormat="1" applyFont="1" applyAlignment="1">
      <alignment vertical="center"/>
    </xf>
    <xf numFmtId="1" fontId="6" fillId="0" borderId="0" xfId="0" applyNumberFormat="1" applyFont="1" applyAlignment="1">
      <alignment vertical="center"/>
    </xf>
    <xf numFmtId="167" fontId="6" fillId="0" borderId="0" xfId="0" applyNumberFormat="1" applyFont="1" applyAlignment="1">
      <alignment vertical="center"/>
    </xf>
    <xf numFmtId="3" fontId="6" fillId="0" borderId="0" xfId="0" applyNumberFormat="1" applyFont="1" applyAlignment="1">
      <alignment vertical="center"/>
    </xf>
    <xf numFmtId="164" fontId="13" fillId="0" borderId="0" xfId="0" applyNumberFormat="1" applyFont="1" applyAlignment="1">
      <alignment vertical="center"/>
    </xf>
    <xf numFmtId="1" fontId="13" fillId="0" borderId="0" xfId="0" applyNumberFormat="1" applyFont="1" applyAlignment="1">
      <alignment horizontal="right" vertical="center"/>
    </xf>
    <xf numFmtId="0" fontId="15" fillId="0" borderId="0" xfId="0" applyFont="1" applyAlignment="1">
      <alignment vertical="center"/>
    </xf>
    <xf numFmtId="0" fontId="15" fillId="0" borderId="0" xfId="0" applyFont="1" applyAlignment="1">
      <alignment horizontal="right" vertical="center"/>
    </xf>
    <xf numFmtId="49" fontId="15" fillId="0" borderId="0" xfId="0" applyNumberFormat="1" applyFont="1" applyAlignment="1">
      <alignment horizontal="center" vertical="center"/>
    </xf>
    <xf numFmtId="49" fontId="20" fillId="2" borderId="0" xfId="0" applyNumberFormat="1" applyFont="1" applyFill="1" applyAlignment="1">
      <alignment horizontal="center"/>
    </xf>
    <xf numFmtId="49" fontId="22" fillId="3" borderId="0" xfId="0" applyNumberFormat="1" applyFont="1" applyFill="1" applyAlignment="1">
      <alignment horizontal="center"/>
    </xf>
    <xf numFmtId="49" fontId="5" fillId="0" borderId="0" xfId="0" applyNumberFormat="1" applyFont="1" applyAlignment="1">
      <alignment horizontal="center"/>
    </xf>
    <xf numFmtId="0" fontId="5" fillId="0" borderId="0" xfId="0" applyFont="1"/>
    <xf numFmtId="164" fontId="6" fillId="0" borderId="0" xfId="0" applyNumberFormat="1" applyFont="1" applyAlignment="1">
      <alignment horizontal="center"/>
    </xf>
    <xf numFmtId="1" fontId="5" fillId="0" borderId="0" xfId="0" applyNumberFormat="1" applyFont="1"/>
    <xf numFmtId="0" fontId="5" fillId="0" borderId="0" xfId="0" applyFont="1" applyAlignment="1">
      <alignment horizontal="center"/>
    </xf>
    <xf numFmtId="3" fontId="6" fillId="0" borderId="0" xfId="0" applyNumberFormat="1" applyFont="1"/>
    <xf numFmtId="0" fontId="23" fillId="0" borderId="0" xfId="0" applyFont="1"/>
    <xf numFmtId="0" fontId="24" fillId="0" borderId="0" xfId="0" applyFont="1"/>
    <xf numFmtId="2" fontId="24" fillId="0" borderId="0" xfId="0" applyNumberFormat="1" applyFont="1"/>
    <xf numFmtId="168" fontId="24" fillId="0" borderId="0" xfId="0" applyNumberFormat="1" applyFont="1"/>
    <xf numFmtId="1" fontId="24" fillId="0" borderId="0" xfId="0" applyNumberFormat="1" applyFont="1"/>
    <xf numFmtId="0" fontId="24" fillId="0" borderId="0" xfId="0" applyFont="1" applyFill="1"/>
    <xf numFmtId="168" fontId="24" fillId="0" borderId="0" xfId="0" applyNumberFormat="1" applyFont="1" applyFill="1"/>
    <xf numFmtId="169" fontId="6" fillId="0" borderId="0" xfId="0" applyNumberFormat="1" applyFont="1" applyAlignment="1">
      <alignment vertical="center"/>
    </xf>
    <xf numFmtId="0" fontId="5" fillId="0" borderId="0" xfId="0" applyNumberFormat="1" applyFont="1" applyAlignment="1">
      <alignment horizontal="left" vertical="center"/>
    </xf>
    <xf numFmtId="164" fontId="6" fillId="0" borderId="0" xfId="0" applyNumberFormat="1" applyFont="1" applyAlignment="1">
      <alignment horizontal="right" vertical="center"/>
    </xf>
    <xf numFmtId="164" fontId="6" fillId="0" borderId="0" xfId="0" applyNumberFormat="1" applyFont="1" applyFill="1"/>
    <xf numFmtId="164" fontId="1" fillId="0" borderId="0" xfId="0" applyNumberFormat="1" applyFont="1" applyFill="1"/>
    <xf numFmtId="0" fontId="6" fillId="0" borderId="0" xfId="0" applyNumberFormat="1" applyFont="1"/>
    <xf numFmtId="164" fontId="6" fillId="0" borderId="0" xfId="0" applyNumberFormat="1" applyFont="1" applyAlignment="1">
      <alignment horizontal="right"/>
    </xf>
    <xf numFmtId="170" fontId="1" fillId="0" borderId="0" xfId="0" applyNumberFormat="1" applyFont="1"/>
    <xf numFmtId="1" fontId="13" fillId="0" borderId="0" xfId="0" applyNumberFormat="1" applyFont="1"/>
    <xf numFmtId="2" fontId="13" fillId="0" borderId="0" xfId="0" applyNumberFormat="1" applyFont="1"/>
    <xf numFmtId="2" fontId="6" fillId="0" borderId="0" xfId="0" applyNumberFormat="1" applyFont="1" applyAlignment="1">
      <alignment vertical="center"/>
    </xf>
    <xf numFmtId="49" fontId="20" fillId="4" borderId="0" xfId="0" applyNumberFormat="1" applyFont="1" applyFill="1" applyAlignment="1">
      <alignment horizontal="center"/>
    </xf>
    <xf numFmtId="164" fontId="5" fillId="5" borderId="0" xfId="0" applyNumberFormat="1" applyFont="1" applyFill="1" applyAlignment="1">
      <alignment horizontal="center"/>
    </xf>
    <xf numFmtId="49" fontId="5" fillId="6" borderId="0" xfId="0" applyNumberFormat="1" applyFont="1" applyFill="1" applyAlignment="1">
      <alignment horizontal="center"/>
    </xf>
    <xf numFmtId="49" fontId="23" fillId="0" borderId="0" xfId="0" applyNumberFormat="1" applyFont="1" applyAlignment="1">
      <alignment horizontal="left"/>
    </xf>
    <xf numFmtId="164" fontId="23" fillId="0" borderId="0" xfId="0" applyNumberFormat="1" applyFont="1" applyAlignment="1">
      <alignment horizontal="center"/>
    </xf>
    <xf numFmtId="49" fontId="24" fillId="0" borderId="0" xfId="0" applyNumberFormat="1" applyFont="1" applyAlignment="1">
      <alignment horizontal="center"/>
    </xf>
    <xf numFmtId="0" fontId="24" fillId="0" borderId="0" xfId="0" applyFont="1" applyAlignment="1">
      <alignment horizontal="left"/>
    </xf>
    <xf numFmtId="164" fontId="24" fillId="0" borderId="0" xfId="0" applyNumberFormat="1" applyFont="1" applyAlignment="1">
      <alignment horizontal="right"/>
    </xf>
    <xf numFmtId="49" fontId="24" fillId="0" borderId="0" xfId="0" applyNumberFormat="1" applyFont="1" applyAlignment="1">
      <alignment horizontal="left"/>
    </xf>
    <xf numFmtId="0" fontId="24" fillId="0" borderId="0" xfId="0" applyFont="1" applyAlignment="1">
      <alignment horizontal="center"/>
    </xf>
    <xf numFmtId="49" fontId="25" fillId="0" borderId="0" xfId="0" applyNumberFormat="1" applyFont="1" applyAlignment="1">
      <alignment horizontal="left"/>
    </xf>
    <xf numFmtId="49" fontId="23" fillId="7" borderId="0" xfId="0" applyNumberFormat="1" applyFont="1" applyFill="1" applyAlignment="1">
      <alignment horizontal="center"/>
    </xf>
    <xf numFmtId="49" fontId="23" fillId="5" borderId="0" xfId="0" applyNumberFormat="1" applyFont="1" applyFill="1" applyAlignment="1">
      <alignment horizontal="center"/>
    </xf>
    <xf numFmtId="49" fontId="26" fillId="3" borderId="0" xfId="0" applyNumberFormat="1" applyFont="1" applyFill="1" applyAlignment="1">
      <alignment horizontal="center"/>
    </xf>
    <xf numFmtId="2" fontId="6" fillId="0" borderId="0" xfId="0" applyNumberFormat="1" applyFont="1" applyAlignment="1">
      <alignment horizontal="center" vertical="center"/>
    </xf>
    <xf numFmtId="0" fontId="22" fillId="3" borderId="0" xfId="0" applyFont="1" applyFill="1" applyAlignment="1"/>
    <xf numFmtId="2" fontId="22" fillId="3" borderId="0" xfId="0" applyNumberFormat="1" applyFont="1" applyFill="1" applyAlignment="1"/>
    <xf numFmtId="168" fontId="22" fillId="3" borderId="0" xfId="0" applyNumberFormat="1" applyFont="1" applyFill="1" applyAlignment="1"/>
    <xf numFmtId="1" fontId="22" fillId="3" borderId="0" xfId="0" applyNumberFormat="1" applyFont="1" applyFill="1" applyAlignment="1"/>
    <xf numFmtId="0" fontId="1" fillId="0" borderId="0" xfId="0" applyFont="1" applyFill="1" applyAlignment="1"/>
    <xf numFmtId="2" fontId="1" fillId="0" borderId="0" xfId="0" applyNumberFormat="1" applyFont="1" applyFill="1" applyAlignment="1"/>
    <xf numFmtId="168" fontId="1" fillId="0" borderId="0" xfId="0" applyNumberFormat="1" applyFont="1" applyFill="1" applyAlignment="1"/>
    <xf numFmtId="1" fontId="1" fillId="0" borderId="0" xfId="0" applyNumberFormat="1" applyFont="1" applyFill="1" applyAlignment="1"/>
    <xf numFmtId="168" fontId="24" fillId="0" borderId="0" xfId="0" applyNumberFormat="1" applyFont="1" applyFill="1" applyAlignment="1"/>
    <xf numFmtId="0" fontId="16" fillId="0" borderId="0" xfId="1" applyFont="1" applyAlignment="1" applyProtection="1">
      <alignment vertical="center"/>
    </xf>
    <xf numFmtId="2" fontId="1" fillId="0" borderId="0" xfId="0" applyNumberFormat="1" applyFont="1" applyAlignment="1"/>
    <xf numFmtId="165" fontId="24" fillId="0" borderId="0" xfId="0" applyNumberFormat="1" applyFont="1" applyFill="1" applyAlignment="1"/>
    <xf numFmtId="0" fontId="24" fillId="0" borderId="0" xfId="0" applyFont="1" applyFill="1" applyAlignment="1"/>
    <xf numFmtId="2" fontId="24" fillId="0" borderId="0" xfId="0" applyNumberFormat="1" applyFont="1" applyFill="1" applyAlignment="1"/>
    <xf numFmtId="1" fontId="24" fillId="0" borderId="0" xfId="0" applyNumberFormat="1" applyFont="1" applyFill="1" applyAlignment="1"/>
    <xf numFmtId="165" fontId="1" fillId="0" borderId="0" xfId="0" applyNumberFormat="1" applyFont="1" applyFill="1" applyAlignment="1"/>
    <xf numFmtId="164" fontId="24" fillId="0" borderId="0" xfId="0" applyNumberFormat="1" applyFont="1"/>
    <xf numFmtId="164" fontId="23" fillId="0" borderId="0" xfId="0" applyNumberFormat="1" applyFont="1"/>
    <xf numFmtId="0" fontId="6" fillId="0" borderId="0" xfId="0" applyNumberFormat="1" applyFont="1" applyAlignment="1">
      <alignment vertical="center"/>
    </xf>
    <xf numFmtId="49" fontId="6" fillId="0" borderId="0" xfId="0" applyNumberFormat="1" applyFont="1" applyAlignment="1">
      <alignment horizontal="left" vertical="center"/>
    </xf>
    <xf numFmtId="49" fontId="16" fillId="0" borderId="0" xfId="1" applyNumberFormat="1" applyFont="1" applyAlignment="1" applyProtection="1">
      <alignment vertical="center"/>
    </xf>
    <xf numFmtId="164" fontId="16" fillId="0" borderId="0" xfId="1" applyNumberFormat="1" applyFont="1" applyAlignment="1" applyProtection="1">
      <alignment vertical="center"/>
    </xf>
    <xf numFmtId="49" fontId="27" fillId="0" borderId="0" xfId="0" applyNumberFormat="1" applyFont="1" applyAlignment="1">
      <alignment vertical="center"/>
    </xf>
    <xf numFmtId="164" fontId="27" fillId="0" borderId="0" xfId="0" applyNumberFormat="1" applyFont="1" applyAlignment="1">
      <alignment vertical="center"/>
    </xf>
    <xf numFmtId="49" fontId="27" fillId="0" borderId="0" xfId="0" applyNumberFormat="1" applyFont="1" applyAlignment="1">
      <alignment horizontal="center" vertical="center"/>
    </xf>
    <xf numFmtId="165" fontId="27" fillId="0" borderId="0" xfId="0" applyNumberFormat="1" applyFont="1" applyAlignment="1">
      <alignment vertical="center"/>
    </xf>
    <xf numFmtId="49" fontId="28" fillId="0" borderId="0" xfId="0" applyNumberFormat="1" applyFont="1" applyAlignment="1">
      <alignment vertical="center"/>
    </xf>
    <xf numFmtId="164" fontId="1" fillId="0" borderId="0" xfId="0" applyNumberFormat="1" applyFont="1" applyAlignment="1">
      <alignment horizontal="center"/>
    </xf>
    <xf numFmtId="168" fontId="1" fillId="0" borderId="0" xfId="0" applyNumberFormat="1" applyFont="1" applyFill="1" applyAlignment="1" applyProtection="1">
      <protection locked="0"/>
    </xf>
    <xf numFmtId="0" fontId="24" fillId="0" borderId="0" xfId="0" applyFont="1" applyFill="1" applyBorder="1"/>
    <xf numFmtId="2" fontId="24" fillId="0" borderId="0" xfId="0" applyNumberFormat="1" applyFont="1" applyFill="1" applyBorder="1"/>
    <xf numFmtId="168" fontId="24" fillId="0" borderId="0" xfId="0" applyNumberFormat="1" applyFont="1" applyFill="1" applyBorder="1"/>
    <xf numFmtId="1" fontId="24" fillId="0" borderId="0" xfId="0" applyNumberFormat="1" applyFont="1" applyFill="1" applyBorder="1"/>
    <xf numFmtId="165" fontId="0" fillId="0" borderId="0" xfId="0" applyNumberFormat="1" applyFill="1" applyBorder="1"/>
    <xf numFmtId="165" fontId="24" fillId="0" borderId="0" xfId="0" applyNumberFormat="1" applyFont="1" applyFill="1" applyBorder="1"/>
    <xf numFmtId="165" fontId="0" fillId="0" borderId="0" xfId="0" applyNumberFormat="1" applyFill="1"/>
    <xf numFmtId="165" fontId="0" fillId="0" borderId="0" xfId="0" applyNumberFormat="1" applyFont="1" applyFill="1" applyBorder="1"/>
    <xf numFmtId="49" fontId="22" fillId="3" borderId="0" xfId="0" applyNumberFormat="1" applyFont="1" applyFill="1" applyAlignment="1"/>
    <xf numFmtId="2" fontId="1" fillId="0" borderId="0" xfId="0" applyNumberFormat="1" applyFont="1"/>
    <xf numFmtId="2" fontId="6" fillId="0" borderId="0" xfId="0" applyNumberFormat="1" applyFont="1" applyAlignment="1">
      <alignment horizontal="center"/>
    </xf>
    <xf numFmtId="0" fontId="25" fillId="0" borderId="0" xfId="0" applyFont="1"/>
    <xf numFmtId="0" fontId="6" fillId="0" borderId="0" xfId="0" applyFont="1" applyAlignment="1">
      <alignment horizontal="right"/>
    </xf>
    <xf numFmtId="2" fontId="24" fillId="8" borderId="0" xfId="0" applyNumberFormat="1" applyFont="1" applyFill="1" applyAlignment="1"/>
    <xf numFmtId="0" fontId="23" fillId="0" borderId="0" xfId="0" applyFont="1" applyAlignment="1">
      <alignment horizontal="center"/>
    </xf>
    <xf numFmtId="168" fontId="24" fillId="0" borderId="0" xfId="0" applyNumberFormat="1" applyFont="1" applyAlignment="1">
      <alignment horizontal="center"/>
    </xf>
    <xf numFmtId="168" fontId="23" fillId="0" borderId="0" xfId="0" applyNumberFormat="1" applyFont="1" applyAlignment="1">
      <alignment horizontal="center"/>
    </xf>
    <xf numFmtId="168" fontId="6" fillId="0" borderId="0" xfId="0" applyNumberFormat="1" applyFont="1" applyAlignment="1">
      <alignment horizontal="right" vertical="center"/>
    </xf>
    <xf numFmtId="168" fontId="6" fillId="0" borderId="0" xfId="0" applyNumberFormat="1" applyFont="1" applyAlignment="1">
      <alignment horizontal="right"/>
    </xf>
    <xf numFmtId="168" fontId="1" fillId="0" borderId="0" xfId="0" applyNumberFormat="1" applyFont="1" applyAlignment="1">
      <alignment horizontal="right"/>
    </xf>
    <xf numFmtId="168" fontId="1" fillId="0" borderId="0" xfId="0" applyNumberFormat="1" applyFont="1"/>
    <xf numFmtId="168" fontId="24" fillId="0" borderId="0" xfId="0" applyNumberFormat="1" applyFont="1" applyAlignment="1">
      <alignment horizontal="right"/>
    </xf>
    <xf numFmtId="168" fontId="23" fillId="0" borderId="0" xfId="0" applyNumberFormat="1" applyFont="1"/>
    <xf numFmtId="2" fontId="24" fillId="0" borderId="0" xfId="0" applyNumberFormat="1" applyFont="1" applyAlignment="1">
      <alignment horizontal="right"/>
    </xf>
    <xf numFmtId="0" fontId="24" fillId="0" borderId="0" xfId="0" applyFont="1" applyFill="1" applyAlignment="1">
      <alignment horizontal="left"/>
    </xf>
    <xf numFmtId="49" fontId="6" fillId="9" borderId="0" xfId="0" applyNumberFormat="1" applyFont="1" applyFill="1" applyAlignment="1">
      <alignment horizontal="center"/>
    </xf>
    <xf numFmtId="164" fontId="6" fillId="0" borderId="0" xfId="0" applyNumberFormat="1" applyFont="1" applyFill="1" applyAlignment="1">
      <alignment horizontal="right"/>
    </xf>
    <xf numFmtId="0" fontId="5" fillId="0" borderId="0" xfId="0" applyFont="1" applyAlignment="1">
      <alignment vertical="center"/>
    </xf>
    <xf numFmtId="0" fontId="24" fillId="0" borderId="0" xfId="0" applyFont="1" applyAlignment="1">
      <alignment vertical="center"/>
    </xf>
    <xf numFmtId="49" fontId="13" fillId="0" borderId="0" xfId="0" applyNumberFormat="1" applyFont="1" applyAlignment="1">
      <alignment horizontal="center" vertical="center"/>
    </xf>
    <xf numFmtId="0" fontId="24" fillId="0" borderId="0" xfId="0" applyFont="1" applyAlignment="1">
      <alignment horizontal="center" vertical="center"/>
    </xf>
    <xf numFmtId="0" fontId="0" fillId="0" borderId="0" xfId="0" applyAlignment="1">
      <alignment vertical="center"/>
    </xf>
  </cellXfs>
  <cellStyles count="2">
    <cellStyle name="Hyperlink" xfId="1" builtinId="8"/>
    <cellStyle name="Normal" xfId="0" builtinId="0"/>
  </cellStyles>
  <dxfs count="0"/>
  <tableStyles count="0" defaultTableStyle="TableStyleMedium9" defaultPivotStyle="PivotStyleLight16"/>
  <colors>
    <mruColors>
      <color rgb="FFCC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6/relationships/vbaProject" Target="vbaProject.bin"/></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28575</xdr:colOff>
      <xdr:row>2</xdr:row>
      <xdr:rowOff>9525</xdr:rowOff>
    </xdr:from>
    <xdr:to>
      <xdr:col>22</xdr:col>
      <xdr:colOff>238125</xdr:colOff>
      <xdr:row>29</xdr:row>
      <xdr:rowOff>9525</xdr:rowOff>
    </xdr:to>
    <xdr:pic>
      <xdr:nvPicPr>
        <xdr:cNvPr id="149811"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01075" y="333375"/>
          <a:ext cx="6153150" cy="437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www.jbmballistics.com/cgi-bin/jbmtraj_simp-5.1.cgi" TargetMode="External"/><Relationship Id="rId7" Type="http://schemas.openxmlformats.org/officeDocument/2006/relationships/vmlDrawing" Target="../drawings/vmlDrawing2.vml"/><Relationship Id="rId2" Type="http://schemas.openxmlformats.org/officeDocument/2006/relationships/hyperlink" Target="http://www.jbmballistics.com/cgi-bin/jbmdrag-5.1.cgi" TargetMode="External"/><Relationship Id="rId1" Type="http://schemas.openxmlformats.org/officeDocument/2006/relationships/hyperlink" Target="http://www.kwk.us/powley.html" TargetMode="External"/><Relationship Id="rId6" Type="http://schemas.openxmlformats.org/officeDocument/2006/relationships/printerSettings" Target="../printerSettings/printerSettings2.bin"/><Relationship Id="rId5" Type="http://schemas.openxmlformats.org/officeDocument/2006/relationships/hyperlink" Target="http://www.jbmballistics.com/cgi-bin/jbmrecoil-5.1.cgi" TargetMode="External"/><Relationship Id="rId4" Type="http://schemas.openxmlformats.org/officeDocument/2006/relationships/hyperlink" Target="http://www.jbmballistics.com/cgi-bin/jbmstab-5.1.cgi"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4"/>
  <sheetViews>
    <sheetView tabSelected="1" workbookViewId="0">
      <pane ySplit="2" topLeftCell="A3" activePane="bottomLeft" state="frozen"/>
      <selection pane="bottomLeft" activeCell="B2" sqref="B2"/>
    </sheetView>
  </sheetViews>
  <sheetFormatPr defaultRowHeight="12.75" customHeight="1" x14ac:dyDescent="0.2"/>
  <cols>
    <col min="1" max="1" width="22.7109375" style="90" customWidth="1"/>
    <col min="2" max="2" width="8.7109375" style="92" customWidth="1"/>
    <col min="3" max="3" width="5.7109375" style="116" customWidth="1"/>
    <col min="4" max="4" width="5.7109375" style="90" customWidth="1"/>
    <col min="5" max="5" width="22.7109375" style="90" customWidth="1"/>
    <col min="6" max="6" width="8.7109375" style="92" customWidth="1"/>
    <col min="7" max="8" width="5.7109375" style="90" customWidth="1"/>
    <col min="9" max="9" width="22.7109375" style="90" customWidth="1"/>
    <col min="10" max="10" width="8.7109375" style="91" customWidth="1"/>
    <col min="11" max="11" width="5.7109375" style="116" customWidth="1"/>
    <col min="12" max="12" width="5.7109375" style="90" customWidth="1"/>
    <col min="13" max="13" width="22.7109375" style="90" customWidth="1"/>
    <col min="14" max="14" width="8.7109375" style="90" customWidth="1"/>
    <col min="15" max="16" width="5.7109375" style="90" customWidth="1"/>
    <col min="17" max="17" width="22.7109375" style="90" customWidth="1"/>
    <col min="18" max="18" width="8.7109375" style="90" customWidth="1"/>
    <col min="19" max="19" width="5.7109375" style="90" customWidth="1"/>
    <col min="20" max="21" width="9.140625" style="90" hidden="1" customWidth="1"/>
    <col min="22" max="16384" width="9.140625" style="90"/>
  </cols>
  <sheetData>
    <row r="1" spans="1:21" ht="12.75" customHeight="1" x14ac:dyDescent="0.2">
      <c r="A1" s="89" t="s">
        <v>691</v>
      </c>
      <c r="B1" s="173" t="s">
        <v>693</v>
      </c>
      <c r="C1" s="165"/>
      <c r="E1" s="89" t="s">
        <v>699</v>
      </c>
      <c r="U1" s="90" t="s">
        <v>692</v>
      </c>
    </row>
    <row r="2" spans="1:21" ht="12.75" customHeight="1" x14ac:dyDescent="0.2">
      <c r="A2" s="90" t="s">
        <v>694</v>
      </c>
      <c r="B2" s="92" t="s">
        <v>747</v>
      </c>
      <c r="E2" s="90" t="str">
        <f>IF(B1="Predefined",VLOOKUP(B2,Cartridges!A2:'Cartridges'!Z118,2,FALSE),"N/A")</f>
        <v>6.04x39 mm</v>
      </c>
      <c r="U2" s="90" t="s">
        <v>693</v>
      </c>
    </row>
    <row r="3" spans="1:21" ht="12.75" customHeight="1" x14ac:dyDescent="0.2">
      <c r="U3" s="90" t="s">
        <v>122</v>
      </c>
    </row>
    <row r="4" spans="1:21" ht="12.75" customHeight="1" x14ac:dyDescent="0.2">
      <c r="A4" s="89" t="s">
        <v>687</v>
      </c>
      <c r="E4" s="89" t="s">
        <v>688</v>
      </c>
      <c r="I4" s="89" t="s">
        <v>722</v>
      </c>
      <c r="U4" s="90" t="s">
        <v>123</v>
      </c>
    </row>
    <row r="5" spans="1:21" ht="12.75" customHeight="1" x14ac:dyDescent="0.2">
      <c r="U5" s="90" t="s">
        <v>701</v>
      </c>
    </row>
    <row r="6" spans="1:21" ht="12.75" customHeight="1" x14ac:dyDescent="0.2">
      <c r="A6" s="162" t="s">
        <v>68</v>
      </c>
      <c r="E6" s="162" t="s">
        <v>68</v>
      </c>
      <c r="G6" s="116"/>
      <c r="I6" s="90" t="s">
        <v>723</v>
      </c>
      <c r="J6" s="116" t="str">
        <f>Case!B4</f>
        <v>Rimless</v>
      </c>
      <c r="K6" s="91" t="e">
        <f ca="1">Case!C4</f>
        <v>#NAME?</v>
      </c>
      <c r="U6" s="90" t="s">
        <v>702</v>
      </c>
    </row>
    <row r="7" spans="1:21" ht="12.75" customHeight="1" x14ac:dyDescent="0.2">
      <c r="A7" s="13" t="s">
        <v>714</v>
      </c>
      <c r="B7" s="91">
        <v>5.7</v>
      </c>
      <c r="C7" s="116" t="s">
        <v>2</v>
      </c>
      <c r="E7" s="13" t="s">
        <v>714</v>
      </c>
      <c r="F7" s="91">
        <f>VLOOKUP(B2,Cartridges!A2:'Cartridges'!Z118,3,FALSE)</f>
        <v>6.2</v>
      </c>
      <c r="G7" s="116" t="s">
        <v>2</v>
      </c>
      <c r="I7" s="90" t="s">
        <v>184</v>
      </c>
      <c r="J7" s="174" t="e">
        <f ca="1">Case!F42</f>
        <v>#NAME?</v>
      </c>
      <c r="K7" s="116" t="s">
        <v>2</v>
      </c>
      <c r="U7" s="90" t="s">
        <v>395</v>
      </c>
    </row>
    <row r="8" spans="1:21" ht="12.75" customHeight="1" x14ac:dyDescent="0.2">
      <c r="A8" s="7" t="s">
        <v>33</v>
      </c>
      <c r="B8" s="92">
        <v>2.1854</v>
      </c>
      <c r="C8" s="116" t="s">
        <v>3</v>
      </c>
      <c r="E8" s="7" t="s">
        <v>33</v>
      </c>
      <c r="F8" s="92">
        <f>VLOOKUP(B2,Cartridges!A2:'Cartridges'!Z118,4,FALSE)</f>
        <v>3</v>
      </c>
      <c r="G8" s="116" t="s">
        <v>3</v>
      </c>
      <c r="I8" s="90" t="s">
        <v>710</v>
      </c>
      <c r="J8" s="174" t="e">
        <f ca="1">IF(K6="Straight","N/A",J11+J21/(2*TAN(J25*PI()/360)))</f>
        <v>#NAME?</v>
      </c>
      <c r="K8" s="116" t="s">
        <v>2</v>
      </c>
      <c r="U8" s="90" t="s">
        <v>389</v>
      </c>
    </row>
    <row r="9" spans="1:21" ht="12.75" customHeight="1" x14ac:dyDescent="0.2">
      <c r="A9" s="9" t="s">
        <v>503</v>
      </c>
      <c r="B9" s="92">
        <v>1.2508999999999999</v>
      </c>
      <c r="C9" s="116" t="s">
        <v>3</v>
      </c>
      <c r="E9" s="9" t="s">
        <v>503</v>
      </c>
      <c r="F9" s="92">
        <f>VLOOKUP(B2,Cartridges!A2:'Cartridges'!Z118,5,FALSE)</f>
        <v>1.2</v>
      </c>
      <c r="G9" s="116" t="s">
        <v>3</v>
      </c>
      <c r="I9" s="90" t="s">
        <v>715</v>
      </c>
      <c r="J9" s="174" t="e">
        <f ca="1">Case!F40</f>
        <v>#NAME?</v>
      </c>
      <c r="K9" s="116" t="s">
        <v>2</v>
      </c>
      <c r="U9" s="90" t="s">
        <v>421</v>
      </c>
    </row>
    <row r="10" spans="1:21" ht="12.75" customHeight="1" x14ac:dyDescent="0.2">
      <c r="A10" s="26" t="s">
        <v>4</v>
      </c>
      <c r="B10" s="92">
        <v>0.38190000000000002</v>
      </c>
      <c r="C10" s="116" t="s">
        <v>3</v>
      </c>
      <c r="E10" s="26" t="s">
        <v>4</v>
      </c>
      <c r="F10" s="92">
        <f>VLOOKUP(B2,Cartridges!A2:'Cartridges'!Z118,6,FALSE)</f>
        <v>0.6</v>
      </c>
      <c r="G10" s="116" t="s">
        <v>3</v>
      </c>
      <c r="I10" s="90" t="s">
        <v>712</v>
      </c>
      <c r="J10" s="174" t="e">
        <f ca="1">IF(K6="Straight","N/A",Case!F40-Case!B22)</f>
        <v>#NAME?</v>
      </c>
      <c r="K10" s="116" t="s">
        <v>2</v>
      </c>
      <c r="U10" s="90" t="s">
        <v>389</v>
      </c>
    </row>
    <row r="11" spans="1:21" ht="12.75" customHeight="1" x14ac:dyDescent="0.2">
      <c r="A11" s="6" t="s">
        <v>420</v>
      </c>
      <c r="B11" s="168" t="s">
        <v>421</v>
      </c>
      <c r="E11" s="6" t="s">
        <v>420</v>
      </c>
      <c r="F11" s="168" t="str">
        <f>VLOOKUP(B2,Cartridges!A2:'Cartridges'!Z118,7,FALSE)</f>
        <v>Yes</v>
      </c>
      <c r="G11" s="116"/>
      <c r="I11" s="90" t="s">
        <v>713</v>
      </c>
      <c r="J11" s="174" t="e">
        <f ca="1">IF(K6="Straight","N/A",Case!B45+Case!B51)</f>
        <v>#NAME?</v>
      </c>
      <c r="K11" s="116" t="s">
        <v>2</v>
      </c>
      <c r="U11" s="90">
        <v>0.1</v>
      </c>
    </row>
    <row r="12" spans="1:21" ht="12.75" customHeight="1" x14ac:dyDescent="0.2">
      <c r="G12" s="116"/>
      <c r="I12" s="33" t="s">
        <v>152</v>
      </c>
      <c r="J12" s="174">
        <f>Case!B51</f>
        <v>3.2</v>
      </c>
      <c r="K12" s="116" t="s">
        <v>2</v>
      </c>
      <c r="U12" s="90">
        <v>0.2</v>
      </c>
    </row>
    <row r="13" spans="1:21" ht="12.75" customHeight="1" x14ac:dyDescent="0.2">
      <c r="A13" s="162" t="s">
        <v>686</v>
      </c>
      <c r="E13" s="162" t="s">
        <v>686</v>
      </c>
      <c r="G13" s="116"/>
      <c r="I13" s="33" t="s">
        <v>154</v>
      </c>
      <c r="J13" s="174">
        <f>Case!B53</f>
        <v>1</v>
      </c>
      <c r="K13" s="116" t="s">
        <v>2</v>
      </c>
      <c r="U13" s="90">
        <v>0.3</v>
      </c>
    </row>
    <row r="14" spans="1:21" ht="12.75" customHeight="1" x14ac:dyDescent="0.2">
      <c r="A14" s="90" t="s">
        <v>689</v>
      </c>
      <c r="B14" s="54" t="s">
        <v>122</v>
      </c>
      <c r="E14" s="90" t="s">
        <v>689</v>
      </c>
      <c r="F14" s="54" t="str">
        <f>VLOOKUP(B2,Cartridges!A2:'Cartridges'!Z118,8,FALSE)</f>
        <v>Rimless</v>
      </c>
      <c r="G14" s="116"/>
      <c r="I14" s="33" t="s">
        <v>155</v>
      </c>
      <c r="J14" s="174">
        <f>Case!B54</f>
        <v>1.5</v>
      </c>
      <c r="K14" s="116" t="s">
        <v>2</v>
      </c>
      <c r="U14" s="90">
        <v>0.4</v>
      </c>
    </row>
    <row r="15" spans="1:21" ht="12.75" customHeight="1" x14ac:dyDescent="0.2">
      <c r="A15" s="33" t="s">
        <v>97</v>
      </c>
      <c r="B15" s="92">
        <v>1.5269999999999999</v>
      </c>
      <c r="C15" s="116" t="s">
        <v>3</v>
      </c>
      <c r="E15" s="33" t="s">
        <v>97</v>
      </c>
      <c r="F15" s="92">
        <f>VLOOKUP(B2,Cartridges!A2:'Cartridges'!Z118,9,FALSE)</f>
        <v>0.80349999999999999</v>
      </c>
      <c r="G15" s="116" t="s">
        <v>3</v>
      </c>
      <c r="I15" s="33" t="s">
        <v>157</v>
      </c>
      <c r="J15" s="174">
        <f>Case!B56</f>
        <v>0.5</v>
      </c>
      <c r="K15" s="116" t="s">
        <v>2</v>
      </c>
      <c r="U15" s="90">
        <v>0.5</v>
      </c>
    </row>
    <row r="16" spans="1:21" ht="12.75" customHeight="1" x14ac:dyDescent="0.2">
      <c r="A16" s="33" t="s">
        <v>98</v>
      </c>
      <c r="B16" s="92">
        <v>4.6510999999999996</v>
      </c>
      <c r="C16" s="116" t="s">
        <v>3</v>
      </c>
      <c r="E16" s="33" t="s">
        <v>98</v>
      </c>
      <c r="F16" s="92">
        <f>VLOOKUP(B2,Cartridges!A2:'Cartridges'!Z118,10,FALSE)</f>
        <v>3.0912999999999999</v>
      </c>
      <c r="G16" s="116" t="s">
        <v>3</v>
      </c>
      <c r="I16" s="90" t="s">
        <v>716</v>
      </c>
      <c r="J16" s="174" t="e">
        <f ca="1">IF(K6="Straight","N/A",Case!B39)</f>
        <v>#NAME?</v>
      </c>
      <c r="K16" s="116" t="s">
        <v>2</v>
      </c>
      <c r="U16" s="90">
        <v>0.6</v>
      </c>
    </row>
    <row r="17" spans="1:21" ht="12.75" customHeight="1" x14ac:dyDescent="0.2">
      <c r="A17" s="56" t="s">
        <v>182</v>
      </c>
      <c r="B17" s="132">
        <v>430</v>
      </c>
      <c r="C17" s="36" t="s">
        <v>183</v>
      </c>
      <c r="E17" s="56" t="s">
        <v>182</v>
      </c>
      <c r="F17" s="132">
        <f>VLOOKUP(B2,Cartridges!A2:'Cartridges'!Z118,11,FALSE)</f>
        <v>430</v>
      </c>
      <c r="G17" s="36" t="s">
        <v>183</v>
      </c>
      <c r="I17" s="90" t="s">
        <v>717</v>
      </c>
      <c r="J17" s="174" t="e">
        <f ca="1">IF(K6="Straight","N/A",Case!B21)</f>
        <v>#NAME?</v>
      </c>
      <c r="K17" s="116" t="s">
        <v>2</v>
      </c>
      <c r="U17" s="91">
        <f>IF(B1="Predefined",VALUE(LEFT(E2,FIND("x",E2)-1)),ROUND(B7*25.4/26,2))</f>
        <v>6.04</v>
      </c>
    </row>
    <row r="18" spans="1:21" ht="12.75" customHeight="1" x14ac:dyDescent="0.2">
      <c r="A18" s="33" t="s">
        <v>269</v>
      </c>
      <c r="B18" s="92">
        <v>0.99519999999999997</v>
      </c>
      <c r="C18" s="116" t="s">
        <v>27</v>
      </c>
      <c r="E18" s="33" t="s">
        <v>269</v>
      </c>
      <c r="F18" s="92">
        <f>VLOOKUP(B2,Cartridges!A2:'Cartridges'!Z118,12,FALSE)</f>
        <v>1.07</v>
      </c>
      <c r="G18" s="116" t="s">
        <v>27</v>
      </c>
      <c r="I18" s="33" t="s">
        <v>159</v>
      </c>
      <c r="J18" s="174">
        <f>Case!B58</f>
        <v>11.3</v>
      </c>
      <c r="K18" s="116" t="s">
        <v>2</v>
      </c>
    </row>
    <row r="19" spans="1:21" ht="12.75" customHeight="1" x14ac:dyDescent="0.2">
      <c r="A19" s="6" t="s">
        <v>390</v>
      </c>
      <c r="B19" s="168" t="s">
        <v>389</v>
      </c>
      <c r="C19" s="15">
        <v>0.1</v>
      </c>
      <c r="E19" s="6" t="s">
        <v>390</v>
      </c>
      <c r="F19" s="168" t="str">
        <f>VLOOKUP(B2,Cartridges!A2:'Cartridges'!Z118,13,FALSE)</f>
        <v>Yes at</v>
      </c>
      <c r="G19" s="121">
        <f>VLOOKUP(B2,Cartridges!A2:'Cartridges'!Z118,14,FALSE)</f>
        <v>0.2</v>
      </c>
      <c r="I19" s="33" t="s">
        <v>158</v>
      </c>
      <c r="J19" s="174">
        <f>Case!B57</f>
        <v>9.5</v>
      </c>
      <c r="K19" s="116" t="s">
        <v>2</v>
      </c>
    </row>
    <row r="20" spans="1:21" ht="12.75" customHeight="1" x14ac:dyDescent="0.2">
      <c r="A20" s="2" t="s">
        <v>394</v>
      </c>
      <c r="B20" s="169" t="s">
        <v>389</v>
      </c>
      <c r="C20" s="39">
        <v>0.1</v>
      </c>
      <c r="E20" s="2" t="s">
        <v>394</v>
      </c>
      <c r="F20" s="169" t="str">
        <f>VLOOKUP(B2,Cartridges!A2:'Cartridges'!Z118,15,FALSE)</f>
        <v>Yes at</v>
      </c>
      <c r="G20" s="161">
        <f>VLOOKUP(B2,Cartridges!A2:'Cartridges'!Z118,16,FALSE)</f>
        <v>0.5</v>
      </c>
      <c r="I20" s="90" t="s">
        <v>150</v>
      </c>
      <c r="J20" s="174" t="e">
        <f ca="1">Case!B48</f>
        <v>#NAME?</v>
      </c>
      <c r="K20" s="116" t="s">
        <v>2</v>
      </c>
    </row>
    <row r="21" spans="1:21" ht="12.75" customHeight="1" x14ac:dyDescent="0.2">
      <c r="A21" s="89" t="s">
        <v>690</v>
      </c>
      <c r="B21" s="170" t="s">
        <v>705</v>
      </c>
      <c r="C21" s="116" t="s">
        <v>389</v>
      </c>
      <c r="E21" s="89" t="s">
        <v>690</v>
      </c>
      <c r="F21" s="170" t="s">
        <v>705</v>
      </c>
      <c r="G21" s="116" t="str">
        <f>VLOOKUP(B2,Cartridges!A2:'Cartridges'!Z118,17,FALSE)</f>
        <v>Yes</v>
      </c>
      <c r="I21" s="90" t="s">
        <v>141</v>
      </c>
      <c r="J21" s="174" t="e">
        <f ca="1">IF(K6="Straight","N/A",Case!B41)</f>
        <v>#NAME?</v>
      </c>
      <c r="K21" s="116" t="s">
        <v>2</v>
      </c>
    </row>
    <row r="22" spans="1:21" ht="12.75" customHeight="1" x14ac:dyDescent="0.2">
      <c r="A22" s="33" t="s">
        <v>152</v>
      </c>
      <c r="B22" s="160">
        <v>3.13</v>
      </c>
      <c r="C22" s="35" t="s">
        <v>2</v>
      </c>
      <c r="E22" s="33" t="s">
        <v>152</v>
      </c>
      <c r="F22" s="160">
        <f>VLOOKUP(B2,Cartridges!A2:'Cartridges'!Z118,18,FALSE)</f>
        <v>3.2</v>
      </c>
      <c r="G22" s="35" t="s">
        <v>2</v>
      </c>
      <c r="I22" s="90" t="s">
        <v>139</v>
      </c>
      <c r="J22" s="174" t="e">
        <f ca="1">IF(K6="Straight","N/A",Case!B23)</f>
        <v>#NAME?</v>
      </c>
      <c r="K22" s="116" t="s">
        <v>2</v>
      </c>
    </row>
    <row r="23" spans="1:21" ht="12.75" customHeight="1" x14ac:dyDescent="0.2">
      <c r="A23" s="33" t="s">
        <v>154</v>
      </c>
      <c r="B23" s="91">
        <v>0.76</v>
      </c>
      <c r="C23" s="35" t="s">
        <v>2</v>
      </c>
      <c r="E23" s="33" t="s">
        <v>154</v>
      </c>
      <c r="F23" s="91">
        <f>VLOOKUP(B2,Cartridges!A2:'Cartridges'!Z118,19,FALSE)</f>
        <v>1</v>
      </c>
      <c r="G23" s="35" t="s">
        <v>2</v>
      </c>
      <c r="I23" s="90" t="s">
        <v>711</v>
      </c>
      <c r="J23" s="174" t="e">
        <f ca="1">Case!B23</f>
        <v>#NAME?</v>
      </c>
      <c r="K23" s="116" t="s">
        <v>2</v>
      </c>
    </row>
    <row r="24" spans="1:21" ht="12.75" customHeight="1" x14ac:dyDescent="0.2">
      <c r="A24" s="33" t="s">
        <v>155</v>
      </c>
      <c r="B24" s="91">
        <v>1.1399999999999999</v>
      </c>
      <c r="C24" s="35" t="s">
        <v>2</v>
      </c>
      <c r="E24" s="33" t="s">
        <v>155</v>
      </c>
      <c r="F24" s="91">
        <f>VLOOKUP(B2,Cartridges!A2:'Cartridges'!Z118,20,FALSE)</f>
        <v>1.5</v>
      </c>
      <c r="G24" s="35" t="s">
        <v>2</v>
      </c>
      <c r="I24" s="90" t="s">
        <v>721</v>
      </c>
      <c r="J24" s="174">
        <f>Projectile!B9</f>
        <v>6.2</v>
      </c>
      <c r="K24" s="116" t="s">
        <v>2</v>
      </c>
    </row>
    <row r="25" spans="1:21" ht="12.75" customHeight="1" x14ac:dyDescent="0.2">
      <c r="A25" s="33" t="s">
        <v>157</v>
      </c>
      <c r="B25" s="91">
        <v>0.45</v>
      </c>
      <c r="C25" s="35" t="s">
        <v>2</v>
      </c>
      <c r="E25" s="33" t="s">
        <v>157</v>
      </c>
      <c r="F25" s="91">
        <f>VLOOKUP(B2,Cartridges!A2:'Cartridges'!Z118,21,FALSE)</f>
        <v>0.5</v>
      </c>
      <c r="G25" s="35" t="s">
        <v>2</v>
      </c>
      <c r="I25" s="90" t="s">
        <v>145</v>
      </c>
      <c r="J25" s="174" t="e">
        <f ca="1">IF(K6="Straight","N/A",Case!B42)</f>
        <v>#NAME?</v>
      </c>
      <c r="K25" s="116" t="s">
        <v>27</v>
      </c>
    </row>
    <row r="26" spans="1:21" ht="12.75" customHeight="1" x14ac:dyDescent="0.2">
      <c r="A26" s="33" t="s">
        <v>158</v>
      </c>
      <c r="B26" s="91">
        <v>8.43</v>
      </c>
      <c r="C26" s="35" t="s">
        <v>2</v>
      </c>
      <c r="E26" s="33" t="s">
        <v>158</v>
      </c>
      <c r="F26" s="91">
        <f>VLOOKUP(B2,Cartridges!A2:'Cartridges'!Z118,22,FALSE)</f>
        <v>9.5</v>
      </c>
      <c r="G26" s="35" t="s">
        <v>2</v>
      </c>
      <c r="I26" s="33" t="s">
        <v>161</v>
      </c>
      <c r="J26" s="174">
        <f>Case!B61</f>
        <v>45</v>
      </c>
      <c r="K26" s="116" t="s">
        <v>27</v>
      </c>
    </row>
    <row r="27" spans="1:21" ht="12.75" customHeight="1" x14ac:dyDescent="0.2">
      <c r="A27" s="33" t="s">
        <v>159</v>
      </c>
      <c r="B27" s="91">
        <v>9.6</v>
      </c>
      <c r="C27" s="35" t="s">
        <v>2</v>
      </c>
      <c r="E27" s="33" t="s">
        <v>159</v>
      </c>
      <c r="F27" s="91">
        <f>VLOOKUP(B2,Cartridges!A2:'Cartridges'!Z118,23,FALSE)</f>
        <v>11.3</v>
      </c>
      <c r="G27" s="35" t="s">
        <v>2</v>
      </c>
      <c r="I27" s="90" t="s">
        <v>162</v>
      </c>
      <c r="J27" s="174" t="e">
        <f ca="1">Case!B60</f>
        <v>#NAME?</v>
      </c>
      <c r="K27" s="116" t="s">
        <v>27</v>
      </c>
    </row>
    <row r="28" spans="1:21" ht="12.75" customHeight="1" x14ac:dyDescent="0.2">
      <c r="A28" s="33" t="s">
        <v>161</v>
      </c>
      <c r="B28" s="91">
        <v>35</v>
      </c>
      <c r="C28" s="35" t="s">
        <v>27</v>
      </c>
      <c r="E28" s="33" t="s">
        <v>161</v>
      </c>
      <c r="F28" s="91">
        <f>VLOOKUP(B2,Cartridges!A2:'Cartridges'!Z118,24,FALSE)</f>
        <v>45</v>
      </c>
      <c r="G28" s="35" t="s">
        <v>27</v>
      </c>
      <c r="I28" s="90" t="s">
        <v>718</v>
      </c>
      <c r="J28" s="174" t="e">
        <f ca="1">Case!F32</f>
        <v>#NAME?</v>
      </c>
      <c r="K28" s="116" t="s">
        <v>36</v>
      </c>
    </row>
    <row r="29" spans="1:21" ht="12.75" customHeight="1" x14ac:dyDescent="0.2">
      <c r="A29" s="90" t="s">
        <v>700</v>
      </c>
      <c r="B29" s="172" t="s">
        <v>701</v>
      </c>
      <c r="E29" s="90" t="s">
        <v>700</v>
      </c>
      <c r="F29" s="172" t="str">
        <f>VLOOKUP(B2,Cartridges!A2:'Cartridges'!Z118,25,FALSE)</f>
        <v>Brass</v>
      </c>
      <c r="G29" s="35"/>
      <c r="I29" s="90" t="s">
        <v>719</v>
      </c>
      <c r="J29" s="174" t="e">
        <f ca="1">Case!F38</f>
        <v>#NAME?</v>
      </c>
      <c r="K29" s="116" t="s">
        <v>87</v>
      </c>
    </row>
    <row r="31" spans="1:21" ht="12.75" customHeight="1" x14ac:dyDescent="0.2">
      <c r="A31" s="33"/>
      <c r="B31" s="167"/>
      <c r="C31" s="33"/>
      <c r="D31" s="33"/>
      <c r="E31" s="42"/>
      <c r="F31" s="171"/>
      <c r="G31" s="33"/>
      <c r="H31" s="33"/>
    </row>
    <row r="32" spans="1:21" ht="12.75" customHeight="1" x14ac:dyDescent="0.2">
      <c r="B32" s="166"/>
    </row>
    <row r="33" spans="2:2" ht="12.75" customHeight="1" x14ac:dyDescent="0.2">
      <c r="B33" s="167"/>
    </row>
    <row r="34" spans="2:2" ht="12.75" customHeight="1" x14ac:dyDescent="0.2">
      <c r="B34" s="166"/>
    </row>
  </sheetData>
  <dataValidations count="6">
    <dataValidation type="list" allowBlank="1" showInputMessage="1" showErrorMessage="1" sqref="B14">
      <formula1>$O$1:$O$2</formula1>
    </dataValidation>
    <dataValidation type="list" allowBlank="1" showInputMessage="1" showErrorMessage="1" sqref="B1">
      <formula1>$U$1:$U$2</formula1>
    </dataValidation>
    <dataValidation type="list" allowBlank="1" showInputMessage="1" showErrorMessage="1" sqref="C19 C20">
      <formula1>$U$11:$U$16</formula1>
    </dataValidation>
    <dataValidation type="list" allowBlank="1" showInputMessage="1" showErrorMessage="1" sqref="C21">
      <formula1>$U$9:$U$10</formula1>
    </dataValidation>
    <dataValidation type="list" allowBlank="1" showInputMessage="1" showErrorMessage="1" sqref="B19 B20 B11">
      <formula1>$U$7:$U$8</formula1>
    </dataValidation>
    <dataValidation type="list" allowBlank="1" showInputMessage="1" showErrorMessage="1" sqref="B29">
      <formula1>$U$5:$U$6</formula1>
    </dataValidation>
  </dataValidations>
  <pageMargins left="0.7" right="0.7" top="0.75" bottom="0.75" header="0.3" footer="0.3"/>
  <pageSetup orientation="portrait" horizontalDpi="1200" verticalDpi="12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Cartridges!$A$2:$A$118</xm:f>
          </x14:formula1>
          <xm:sqref>B2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F36"/>
  <sheetViews>
    <sheetView zoomScaleNormal="100" workbookViewId="0">
      <pane ySplit="2" topLeftCell="A3" activePane="bottomLeft" state="frozen"/>
      <selection pane="bottomLeft" activeCell="D2" sqref="D2"/>
    </sheetView>
  </sheetViews>
  <sheetFormatPr defaultRowHeight="12.75" customHeight="1" x14ac:dyDescent="0.25"/>
  <cols>
    <col min="1" max="1" width="22.7109375" style="6" customWidth="1"/>
    <col min="2" max="2" width="8.7109375" style="5" customWidth="1"/>
    <col min="3" max="3" width="5.7109375" style="6" customWidth="1"/>
    <col min="4" max="4" width="8.7109375" style="6" customWidth="1"/>
    <col min="5" max="5" width="5.7109375" style="15" customWidth="1"/>
    <col min="6" max="6" width="5.7109375" style="6" customWidth="1"/>
    <col min="7" max="7" width="22.7109375" style="6" customWidth="1"/>
    <col min="8" max="8" width="8.7109375" style="5" customWidth="1"/>
    <col min="9" max="9" width="5.7109375" style="15" customWidth="1"/>
    <col min="10" max="10" width="5.7109375" style="6" customWidth="1"/>
    <col min="11" max="11" width="22.7109375" style="6" customWidth="1"/>
    <col min="12" max="12" width="8.7109375" style="5" customWidth="1"/>
    <col min="13" max="13" width="5.7109375" style="15" customWidth="1"/>
    <col min="14" max="14" width="5.7109375" style="6" customWidth="1"/>
    <col min="15" max="15" width="22.7109375" style="6" customWidth="1"/>
    <col min="16" max="16" width="8.7109375" style="5" customWidth="1"/>
    <col min="17" max="17" width="5.7109375" style="15" customWidth="1"/>
    <col min="18" max="18" width="5.7109375" style="6" customWidth="1"/>
    <col min="19" max="19" width="22.7109375" style="6" customWidth="1"/>
    <col min="20" max="20" width="8.7109375" style="5" customWidth="1"/>
    <col min="21" max="21" width="5.7109375" style="15" customWidth="1"/>
    <col min="22" max="22" width="5.7109375" style="6" customWidth="1"/>
    <col min="23" max="23" width="9.140625" style="12"/>
    <col min="24" max="24" width="9.140625" style="12" customWidth="1"/>
    <col min="25" max="25" width="9.140625" style="12" hidden="1" customWidth="1"/>
    <col min="26" max="26" width="9.7109375" style="12" hidden="1" customWidth="1"/>
    <col min="27" max="32" width="9.140625" style="12" hidden="1" customWidth="1"/>
    <col min="33" max="16384" width="9.140625" style="12"/>
  </cols>
  <sheetData>
    <row r="1" spans="1:32" ht="12.75" customHeight="1" x14ac:dyDescent="0.25">
      <c r="A1" s="66" t="s">
        <v>673</v>
      </c>
      <c r="B1" s="67">
        <f>Barrel!F1</f>
        <v>6.04</v>
      </c>
      <c r="C1" s="65" t="s">
        <v>233</v>
      </c>
      <c r="D1" s="68" t="e">
        <f ca="1">ROUND(Case!F40,0)</f>
        <v>#NAME?</v>
      </c>
      <c r="E1" s="65" t="s">
        <v>2</v>
      </c>
      <c r="G1" s="4" t="s">
        <v>646</v>
      </c>
      <c r="K1" s="4" t="s">
        <v>647</v>
      </c>
      <c r="O1" s="4" t="s">
        <v>671</v>
      </c>
      <c r="S1" s="4" t="s">
        <v>672</v>
      </c>
      <c r="AE1" s="12">
        <f>TAN(Projectile!N12*PI()/180)</f>
        <v>0.13165249758739583</v>
      </c>
    </row>
    <row r="2" spans="1:32" ht="12.75" customHeight="1" x14ac:dyDescent="0.25">
      <c r="A2" s="131" t="s">
        <v>234</v>
      </c>
      <c r="B2" s="178" t="s">
        <v>311</v>
      </c>
      <c r="C2" s="179"/>
      <c r="D2" s="30" t="s">
        <v>813</v>
      </c>
      <c r="E2" s="30"/>
      <c r="G2" s="142" t="s">
        <v>234</v>
      </c>
      <c r="K2" s="142" t="s">
        <v>234</v>
      </c>
      <c r="O2" s="142" t="s">
        <v>234</v>
      </c>
      <c r="S2" s="143" t="s">
        <v>234</v>
      </c>
      <c r="Y2" s="12" t="s">
        <v>470</v>
      </c>
      <c r="Z2" s="12" t="s">
        <v>9</v>
      </c>
      <c r="AA2" s="12" t="s">
        <v>15</v>
      </c>
      <c r="AB2" s="12" t="s">
        <v>472</v>
      </c>
      <c r="AC2" s="12" t="s">
        <v>285</v>
      </c>
      <c r="AD2" s="12" t="s">
        <v>471</v>
      </c>
      <c r="AE2" s="12" t="s">
        <v>204</v>
      </c>
      <c r="AF2" s="12" t="s">
        <v>636</v>
      </c>
    </row>
    <row r="3" spans="1:32" ht="12.75" customHeight="1" x14ac:dyDescent="0.25">
      <c r="A3" s="66"/>
      <c r="B3" s="12"/>
      <c r="C3" s="30"/>
      <c r="D3" s="12"/>
      <c r="E3" s="30"/>
      <c r="Y3" s="6" t="s">
        <v>310</v>
      </c>
      <c r="Z3" s="98" t="e">
        <f ca="1">Projectile!B18</f>
        <v>#NAME?</v>
      </c>
      <c r="AA3" s="98" t="e">
        <f ca="1">Projectile!B20</f>
        <v>#NAME?</v>
      </c>
      <c r="AB3" s="98" t="e">
        <f ca="1">Projectile!B17</f>
        <v>#NAME?</v>
      </c>
      <c r="AC3" s="98" t="e">
        <f ca="1">Projectile!B14</f>
        <v>#NAME?</v>
      </c>
      <c r="AD3" s="98" t="e">
        <f ca="1">Projectile!B12</f>
        <v>#NAME?</v>
      </c>
      <c r="AE3" s="5" t="e">
        <f ca="1">P6-2*AA3*AE1</f>
        <v>#NAME?</v>
      </c>
      <c r="AF3" s="12" t="e">
        <f ca="1">Projectile!G9</f>
        <v>#NAME?</v>
      </c>
    </row>
    <row r="4" spans="1:32" ht="12.75" customHeight="1" x14ac:dyDescent="0.25">
      <c r="A4" s="66" t="s">
        <v>235</v>
      </c>
      <c r="B4" s="69" t="s">
        <v>236</v>
      </c>
      <c r="C4" s="70"/>
      <c r="D4" s="69" t="s">
        <v>237</v>
      </c>
      <c r="E4" s="30"/>
      <c r="F4" s="4"/>
      <c r="G4" s="66" t="s">
        <v>235</v>
      </c>
      <c r="H4" s="18"/>
      <c r="I4" s="19"/>
      <c r="J4" s="4"/>
      <c r="K4" s="66" t="s">
        <v>235</v>
      </c>
      <c r="L4" s="18"/>
      <c r="M4" s="19"/>
      <c r="N4" s="4"/>
      <c r="O4" s="4" t="s">
        <v>235</v>
      </c>
      <c r="S4" s="4" t="s">
        <v>235</v>
      </c>
      <c r="Y4" s="6" t="s">
        <v>273</v>
      </c>
      <c r="Z4" s="98" t="e">
        <f ca="1">Projectile!B18</f>
        <v>#NAME?</v>
      </c>
      <c r="AA4" s="98" t="e">
        <f ca="1">Projectile!B20</f>
        <v>#NAME?</v>
      </c>
      <c r="AB4" s="98" t="e">
        <f ca="1">Projectile!B17</f>
        <v>#NAME?</v>
      </c>
      <c r="AC4" s="98" t="e">
        <f ca="1">Common_Projectiles!B10</f>
        <v>#NAME?</v>
      </c>
      <c r="AD4" s="98" t="e">
        <f ca="1">Common_Projectiles!B8</f>
        <v>#NAME?</v>
      </c>
      <c r="AE4" s="5" t="e">
        <f ca="1">P6-2*AA4*AE1</f>
        <v>#NAME?</v>
      </c>
      <c r="AF4" s="12" t="e">
        <f ca="1">Projectile!G9</f>
        <v>#NAME?</v>
      </c>
    </row>
    <row r="5" spans="1:32" ht="12.75" customHeight="1" x14ac:dyDescent="0.25">
      <c r="A5" s="71"/>
      <c r="B5" s="12"/>
      <c r="C5" s="30"/>
      <c r="D5" s="12"/>
      <c r="E5" s="30"/>
      <c r="Y5" s="12" t="s">
        <v>813</v>
      </c>
      <c r="Z5" s="5" t="e">
        <f ca="1">Projectile!B18</f>
        <v>#NAME?</v>
      </c>
      <c r="AA5" s="5">
        <f>Common_Projectiles!R23+Common_Projectiles!R24</f>
        <v>4.5894738077799477</v>
      </c>
      <c r="AB5" s="5" t="e">
        <f ca="1">Common_Projectiles!R28</f>
        <v>#NAME?</v>
      </c>
      <c r="AC5" s="5" t="e">
        <f ca="1">Common_Projectiles!F11</f>
        <v>#NAME?</v>
      </c>
      <c r="AD5" s="5" t="e">
        <f ca="1">Common_Projectiles!F9</f>
        <v>#NAME?</v>
      </c>
      <c r="AE5" s="5">
        <f>P6-2*AA5*AE1</f>
        <v>4.9915686211876684</v>
      </c>
      <c r="AF5" s="12" t="e">
        <f ca="1">Projectile!G9</f>
        <v>#NAME?</v>
      </c>
    </row>
    <row r="6" spans="1:32" ht="12.75" customHeight="1" x14ac:dyDescent="0.2">
      <c r="A6" s="9" t="s">
        <v>179</v>
      </c>
      <c r="B6" s="10" t="e">
        <f ca="1">Case!F32</f>
        <v>#NAME?</v>
      </c>
      <c r="C6" s="30" t="s">
        <v>36</v>
      </c>
      <c r="D6" s="5" t="e">
        <f ca="1">B6/0.06479891</f>
        <v>#NAME?</v>
      </c>
      <c r="E6" s="30" t="s">
        <v>93</v>
      </c>
      <c r="G6" s="6" t="s">
        <v>241</v>
      </c>
      <c r="H6" s="5" t="e">
        <f ca="1">B10</f>
        <v>#NAME?</v>
      </c>
      <c r="I6" s="15" t="s">
        <v>87</v>
      </c>
      <c r="K6" s="6" t="s">
        <v>642</v>
      </c>
      <c r="L6" s="5">
        <f>Projectile!B9</f>
        <v>6.2</v>
      </c>
      <c r="M6" s="15" t="s">
        <v>2</v>
      </c>
      <c r="O6" s="6" t="s">
        <v>398</v>
      </c>
      <c r="P6" s="5">
        <f>Projectile!B9</f>
        <v>6.2</v>
      </c>
      <c r="Q6" s="15" t="s">
        <v>2</v>
      </c>
      <c r="S6" s="140" t="e">
        <f ca="1">O24</f>
        <v>#NAME?</v>
      </c>
      <c r="T6" s="5">
        <v>0.218</v>
      </c>
      <c r="U6" s="39" t="s">
        <v>3</v>
      </c>
      <c r="Y6" s="6" t="s">
        <v>291</v>
      </c>
      <c r="Z6" s="98" t="e">
        <f ca="1">Projectile!B18</f>
        <v>#NAME?</v>
      </c>
      <c r="AA6" s="98" t="e">
        <f ca="1">Projectile!B20</f>
        <v>#NAME?</v>
      </c>
      <c r="AB6" s="98" t="e">
        <f ca="1">Projectile!B17</f>
        <v>#NAME?</v>
      </c>
      <c r="AC6" s="98" t="e">
        <f ca="1">Common_Projectiles!J10</f>
        <v>#NAME?</v>
      </c>
      <c r="AD6" s="98" t="e">
        <f ca="1">Common_Projectiles!J8</f>
        <v>#NAME?</v>
      </c>
      <c r="AE6" s="5" t="e">
        <f ca="1">P6-2*AA6*AE1</f>
        <v>#NAME?</v>
      </c>
      <c r="AF6" s="12" t="e">
        <f ca="1">Projectile!G9</f>
        <v>#NAME?</v>
      </c>
    </row>
    <row r="7" spans="1:32" ht="12.75" customHeight="1" x14ac:dyDescent="0.25">
      <c r="A7" s="9" t="s">
        <v>238</v>
      </c>
      <c r="B7" s="5" t="e">
        <f ca="1">Case!F40</f>
        <v>#NAME?</v>
      </c>
      <c r="C7" s="30" t="s">
        <v>2</v>
      </c>
      <c r="D7" s="5" t="e">
        <f ca="1">B7/25.4</f>
        <v>#NAME?</v>
      </c>
      <c r="E7" s="30" t="s">
        <v>223</v>
      </c>
      <c r="F7" s="5"/>
      <c r="G7" s="9" t="s">
        <v>252</v>
      </c>
      <c r="H7" s="73">
        <f>B22</f>
        <v>905.25600000000009</v>
      </c>
      <c r="I7" s="15" t="s">
        <v>253</v>
      </c>
      <c r="J7" s="5"/>
      <c r="K7" s="6" t="s">
        <v>240</v>
      </c>
      <c r="L7" s="5" t="e">
        <f ca="1">B9</f>
        <v>#NAME?</v>
      </c>
      <c r="M7" s="23" t="s">
        <v>2</v>
      </c>
      <c r="N7" s="5"/>
      <c r="O7" s="6" t="s">
        <v>400</v>
      </c>
      <c r="P7" s="5" t="e">
        <f ca="1">Projectile!F21/P6</f>
        <v>#NAME?</v>
      </c>
      <c r="Q7" s="15" t="s">
        <v>643</v>
      </c>
      <c r="S7" s="6" t="s">
        <v>642</v>
      </c>
      <c r="T7" s="5">
        <f>P6</f>
        <v>6.2</v>
      </c>
      <c r="U7" s="15" t="s">
        <v>2</v>
      </c>
      <c r="Y7" s="6" t="s">
        <v>313</v>
      </c>
      <c r="Z7" s="98" t="e">
        <f ca="1">Projectile!B18</f>
        <v>#NAME?</v>
      </c>
      <c r="AA7" s="98" t="e">
        <f ca="1">Projectile!B20</f>
        <v>#NAME?</v>
      </c>
      <c r="AB7" s="98" t="e">
        <f ca="1">Projectile!B17</f>
        <v>#NAME?</v>
      </c>
      <c r="AC7" s="98" t="e">
        <f ca="1">Common_Projectiles!N10</f>
        <v>#NAME?</v>
      </c>
      <c r="AD7" s="98" t="e">
        <f ca="1">Common_Projectiles!N8</f>
        <v>#NAME?</v>
      </c>
      <c r="AE7" s="5" t="e">
        <f ca="1">P6-2*AA7*AE1</f>
        <v>#NAME?</v>
      </c>
      <c r="AF7" s="12" t="e">
        <f ca="1">Projectile!G9</f>
        <v>#NAME?</v>
      </c>
    </row>
    <row r="8" spans="1:32" ht="12.75" customHeight="1" x14ac:dyDescent="0.25">
      <c r="A8" s="9" t="s">
        <v>239</v>
      </c>
      <c r="B8" s="5" t="e">
        <f ca="1">Case!F42</f>
        <v>#NAME?</v>
      </c>
      <c r="C8" s="30" t="s">
        <v>2</v>
      </c>
      <c r="D8" s="5" t="e">
        <f ca="1">B8/25.4</f>
        <v>#NAME?</v>
      </c>
      <c r="E8" s="30" t="s">
        <v>223</v>
      </c>
      <c r="F8" s="5"/>
      <c r="G8" s="5" t="s">
        <v>649</v>
      </c>
      <c r="H8" s="5">
        <f>B18</f>
        <v>1.969886864</v>
      </c>
      <c r="I8" s="23" t="s">
        <v>87</v>
      </c>
      <c r="J8" s="5"/>
      <c r="K8" s="6" t="s">
        <v>241</v>
      </c>
      <c r="L8" s="5" t="e">
        <f ca="1">B10</f>
        <v>#NAME?</v>
      </c>
      <c r="M8" s="23" t="s">
        <v>87</v>
      </c>
      <c r="N8" s="5"/>
      <c r="O8" s="6" t="s">
        <v>630</v>
      </c>
      <c r="P8" s="98" t="e">
        <f ca="1">VLOOKUP(D2,Y3:AF12,8,FALSE)</f>
        <v>#NAME?</v>
      </c>
      <c r="S8" s="6" t="s">
        <v>241</v>
      </c>
      <c r="T8" s="5" t="e">
        <f ca="1">B10</f>
        <v>#NAME?</v>
      </c>
      <c r="U8" s="15" t="s">
        <v>87</v>
      </c>
      <c r="Y8" s="12" t="s">
        <v>452</v>
      </c>
      <c r="Z8" s="98" t="e">
        <f ca="1">Projectile!B18</f>
        <v>#NAME?</v>
      </c>
      <c r="AA8" s="98">
        <f>Common_Projectiles!R23+Common_Projectiles!R24</f>
        <v>4.5894738077799477</v>
      </c>
      <c r="AB8" s="98" t="e">
        <f ca="1">Common_Projectiles!R28</f>
        <v>#NAME?</v>
      </c>
      <c r="AC8" s="98" t="e">
        <f ca="1">Common_Projectiles!R11</f>
        <v>#NAME?</v>
      </c>
      <c r="AD8" s="98" t="e">
        <f ca="1">Common_Projectiles!R9</f>
        <v>#NAME?</v>
      </c>
      <c r="AE8" s="5">
        <f>P6-2*AA8*AE1</f>
        <v>4.9915686211876684</v>
      </c>
      <c r="AF8" s="12" t="e">
        <f ca="1">Projectile!G9</f>
        <v>#NAME?</v>
      </c>
    </row>
    <row r="9" spans="1:32" ht="12.75" customHeight="1" x14ac:dyDescent="0.25">
      <c r="A9" s="9" t="s">
        <v>240</v>
      </c>
      <c r="B9" s="5" t="e">
        <f ca="1">VLOOKUP(D2,Y3:AF12,4,FALSE)</f>
        <v>#NAME?</v>
      </c>
      <c r="C9" s="30" t="s">
        <v>2</v>
      </c>
      <c r="D9" s="5" t="e">
        <f ca="1">B9/25.4</f>
        <v>#NAME?</v>
      </c>
      <c r="E9" s="30" t="s">
        <v>223</v>
      </c>
      <c r="F9" s="5"/>
      <c r="G9" s="6" t="s">
        <v>650</v>
      </c>
      <c r="H9" s="64">
        <v>4.0999999999999996</v>
      </c>
      <c r="I9" s="23" t="s">
        <v>651</v>
      </c>
      <c r="J9" s="5"/>
      <c r="K9" s="5" t="s">
        <v>648</v>
      </c>
      <c r="L9" s="5">
        <f>IF(D2="JBP",Common_Projectiles!V67+Common_Projectiles!V68,0)</f>
        <v>0</v>
      </c>
      <c r="M9" s="23" t="s">
        <v>2</v>
      </c>
      <c r="N9" s="5"/>
      <c r="O9" s="6" t="s">
        <v>204</v>
      </c>
      <c r="P9" s="5">
        <f>VLOOKUP(D2,Y3:AF12,7,FALSE)/P6</f>
        <v>0.80509171309478522</v>
      </c>
      <c r="Q9" s="15" t="s">
        <v>643</v>
      </c>
      <c r="S9" s="9" t="s">
        <v>252</v>
      </c>
      <c r="T9" s="73">
        <f>B22</f>
        <v>905.25600000000009</v>
      </c>
      <c r="U9" s="15" t="s">
        <v>253</v>
      </c>
      <c r="Y9" s="12" t="s">
        <v>325</v>
      </c>
      <c r="Z9" s="5" t="e">
        <f ca="1">Projectile!B18</f>
        <v>#NAME?</v>
      </c>
      <c r="AA9" s="5">
        <f>Common_Projectiles!V22</f>
        <v>0.5</v>
      </c>
      <c r="AB9" s="5" t="e">
        <f ca="1">Common_Projectiles!V26</f>
        <v>#NAME?</v>
      </c>
      <c r="AC9" s="5" t="e">
        <f ca="1">Common_Projectiles!V11</f>
        <v>#NAME?</v>
      </c>
      <c r="AD9" s="5" t="e">
        <f ca="1">Common_Projectiles!V9</f>
        <v>#NAME?</v>
      </c>
      <c r="AE9" s="5">
        <f>Projectile!B9</f>
        <v>6.2</v>
      </c>
      <c r="AF9" s="12" t="e">
        <f ca="1">Projectile!G9</f>
        <v>#NAME?</v>
      </c>
    </row>
    <row r="10" spans="1:32" ht="12.75" customHeight="1" x14ac:dyDescent="0.25">
      <c r="A10" s="9" t="s">
        <v>241</v>
      </c>
      <c r="B10" s="5" t="e">
        <f ca="1">VLOOKUP(D2,Y3:AF12,5,FALSE)</f>
        <v>#NAME?</v>
      </c>
      <c r="C10" s="30" t="s">
        <v>87</v>
      </c>
      <c r="D10" s="5" t="e">
        <f ca="1">B10/0.06479891</f>
        <v>#NAME?</v>
      </c>
      <c r="E10" s="30" t="s">
        <v>93</v>
      </c>
      <c r="F10" s="5"/>
      <c r="G10" s="5"/>
      <c r="I10" s="23"/>
      <c r="J10" s="5"/>
      <c r="K10" s="5" t="s">
        <v>252</v>
      </c>
      <c r="L10" s="73">
        <f>B22</f>
        <v>905.25600000000009</v>
      </c>
      <c r="M10" s="23" t="s">
        <v>253</v>
      </c>
      <c r="N10" s="5"/>
      <c r="O10" s="6" t="s">
        <v>631</v>
      </c>
      <c r="P10" s="5">
        <f>1</f>
        <v>1</v>
      </c>
      <c r="Q10" s="15" t="s">
        <v>643</v>
      </c>
      <c r="Y10" s="12" t="s">
        <v>521</v>
      </c>
      <c r="Z10" s="5" t="e">
        <f ca="1">Projectile!B18</f>
        <v>#NAME?</v>
      </c>
      <c r="AA10" s="5" t="e">
        <f ca="1">Projectile!B20</f>
        <v>#NAME?</v>
      </c>
      <c r="AB10" s="5" t="e">
        <f ca="1">Projectile!B17</f>
        <v>#NAME?</v>
      </c>
      <c r="AC10" s="5" t="e">
        <f ca="1">Truncated_Projectiles!B11</f>
        <v>#NAME?</v>
      </c>
      <c r="AD10" s="5" t="e">
        <f ca="1">Truncated_Projectiles!B9</f>
        <v>#NAME?</v>
      </c>
      <c r="AE10" s="5" t="e">
        <f ca="1">P6-2*AA10*AE1</f>
        <v>#NAME?</v>
      </c>
      <c r="AF10" s="12" t="s">
        <v>635</v>
      </c>
    </row>
    <row r="11" spans="1:32" ht="12.75" customHeight="1" x14ac:dyDescent="0.2">
      <c r="A11" s="9" t="s">
        <v>242</v>
      </c>
      <c r="B11" s="5">
        <f>Projectile!B9</f>
        <v>6.2</v>
      </c>
      <c r="C11" s="30" t="s">
        <v>2</v>
      </c>
      <c r="D11" s="5">
        <f>B11/25.4</f>
        <v>0.24409448818897639</v>
      </c>
      <c r="E11" s="30" t="s">
        <v>223</v>
      </c>
      <c r="F11" s="5"/>
      <c r="G11" s="4" t="s">
        <v>247</v>
      </c>
      <c r="I11" s="23"/>
      <c r="J11" s="5"/>
      <c r="K11" s="5" t="s">
        <v>638</v>
      </c>
      <c r="L11" s="5" t="e">
        <f ca="1">Barrel!B35/10</f>
        <v>#NAME?</v>
      </c>
      <c r="M11" s="23" t="s">
        <v>637</v>
      </c>
      <c r="N11" s="5"/>
      <c r="O11" s="3" t="s">
        <v>401</v>
      </c>
      <c r="P11" s="5" t="e">
        <f ca="1">VLOOKUP(D2,Y3:AF12,6,FALSE)</f>
        <v>#NAME?</v>
      </c>
      <c r="Q11" s="15" t="s">
        <v>74</v>
      </c>
      <c r="S11" s="4" t="s">
        <v>663</v>
      </c>
      <c r="V11" s="18"/>
      <c r="Y11" s="12" t="s">
        <v>528</v>
      </c>
      <c r="Z11" s="5" t="e">
        <f ca="1">Projectile!B18</f>
        <v>#NAME?</v>
      </c>
      <c r="AA11" s="5">
        <f>Common_Projectiles!R23+Common_Projectiles!R24</f>
        <v>4.5894738077799477</v>
      </c>
      <c r="AB11" s="5" t="e">
        <f ca="1">Common_Projectiles!R28</f>
        <v>#NAME?</v>
      </c>
      <c r="AC11" s="5" t="e">
        <f ca="1">Truncated_Projectiles!J11</f>
        <v>#NAME?</v>
      </c>
      <c r="AD11" s="5" t="e">
        <f ca="1">Truncated_Projectiles!J9</f>
        <v>#NAME?</v>
      </c>
      <c r="AE11" s="5">
        <f>P6-2*AA11*AE1</f>
        <v>4.9915686211876684</v>
      </c>
      <c r="AF11" s="12" t="s">
        <v>635</v>
      </c>
    </row>
    <row r="12" spans="1:32" ht="12.75" customHeight="1" x14ac:dyDescent="0.25">
      <c r="A12" s="9" t="s">
        <v>243</v>
      </c>
      <c r="B12" s="5" t="e">
        <f ca="1">Barrel!F6</f>
        <v>#NAME?</v>
      </c>
      <c r="C12" s="30" t="s">
        <v>2</v>
      </c>
      <c r="D12" s="5" t="e">
        <f ca="1">B12/25.4</f>
        <v>#NAME?</v>
      </c>
      <c r="E12" s="30" t="s">
        <v>223</v>
      </c>
      <c r="F12" s="5"/>
      <c r="N12" s="5"/>
      <c r="O12" s="6" t="s">
        <v>638</v>
      </c>
      <c r="P12" s="5" t="e">
        <f ca="1">Barrel!B35/10</f>
        <v>#NAME?</v>
      </c>
      <c r="Q12" s="15" t="s">
        <v>637</v>
      </c>
      <c r="V12" s="5"/>
      <c r="Y12" s="12" t="s">
        <v>532</v>
      </c>
      <c r="Z12" s="5" t="e">
        <f ca="1">Projectile!B18</f>
        <v>#NAME?</v>
      </c>
      <c r="AA12" s="5">
        <f>Common_Projectiles!R23+Common_Projectiles!R24</f>
        <v>4.5894738077799477</v>
      </c>
      <c r="AB12" s="5" t="e">
        <f ca="1">Common_Projectiles!R28</f>
        <v>#NAME?</v>
      </c>
      <c r="AC12" s="5" t="e">
        <f ca="1">Truncated_Projectiles!F11</f>
        <v>#NAME?</v>
      </c>
      <c r="AD12" s="5" t="e">
        <f ca="1">Truncated_Projectiles!F9</f>
        <v>#NAME?</v>
      </c>
      <c r="AE12" s="5">
        <f>P6-2*AA12*AE1</f>
        <v>4.9915686211876684</v>
      </c>
      <c r="AF12" s="12" t="s">
        <v>635</v>
      </c>
    </row>
    <row r="13" spans="1:32" ht="12.75" customHeight="1" x14ac:dyDescent="0.2">
      <c r="A13" s="9" t="s">
        <v>244</v>
      </c>
      <c r="B13" s="72">
        <f>Case!B2</f>
        <v>430</v>
      </c>
      <c r="C13" s="30" t="s">
        <v>183</v>
      </c>
      <c r="D13" s="73">
        <f>100*ROUND((D14+17902)/(1.516*100),0)</f>
        <v>52900</v>
      </c>
      <c r="E13" s="30" t="s">
        <v>245</v>
      </c>
      <c r="F13" s="5"/>
      <c r="G13" s="6" t="s">
        <v>652</v>
      </c>
      <c r="H13" s="64">
        <v>2</v>
      </c>
      <c r="I13" s="15" t="s">
        <v>253</v>
      </c>
      <c r="K13" s="4" t="s">
        <v>402</v>
      </c>
      <c r="L13" s="18" t="s">
        <v>403</v>
      </c>
      <c r="M13" s="19"/>
      <c r="N13" s="64"/>
      <c r="O13" s="3" t="s">
        <v>399</v>
      </c>
      <c r="P13" s="5" t="e">
        <f ca="1">VLOOKUP(D2,Y3:AF12,2,FALSE)/P6</f>
        <v>#NAME?</v>
      </c>
      <c r="Q13" s="15" t="s">
        <v>643</v>
      </c>
      <c r="S13" s="6" t="s">
        <v>640</v>
      </c>
      <c r="T13" s="98" t="s">
        <v>660</v>
      </c>
      <c r="U13" s="15" t="s">
        <v>253</v>
      </c>
      <c r="V13" s="64"/>
      <c r="Z13" s="5"/>
      <c r="AA13" s="5"/>
      <c r="AB13" s="5"/>
      <c r="AC13" s="5"/>
      <c r="AD13" s="5"/>
      <c r="AE13" s="5"/>
    </row>
    <row r="14" spans="1:32" ht="12.75" customHeight="1" x14ac:dyDescent="0.2">
      <c r="A14" s="66"/>
      <c r="C14" s="30"/>
      <c r="D14" s="73">
        <f>B13/0.006894757</f>
        <v>62366.229875831741</v>
      </c>
      <c r="E14" s="30" t="s">
        <v>246</v>
      </c>
      <c r="G14" s="6" t="s">
        <v>653</v>
      </c>
      <c r="H14" s="64">
        <v>8.3000000000000007</v>
      </c>
      <c r="I14" s="15" t="s">
        <v>655</v>
      </c>
      <c r="N14" s="106"/>
      <c r="O14" s="3" t="s">
        <v>632</v>
      </c>
      <c r="P14" s="5" t="e">
        <f ca="1">Projectile!F13/Projectile!B9</f>
        <v>#NAME?</v>
      </c>
      <c r="Q14" s="15" t="s">
        <v>643</v>
      </c>
      <c r="S14" s="6" t="s">
        <v>664</v>
      </c>
      <c r="T14" s="98" t="s">
        <v>659</v>
      </c>
      <c r="U14" s="15" t="s">
        <v>256</v>
      </c>
      <c r="V14" s="106"/>
    </row>
    <row r="15" spans="1:32" ht="12.75" customHeight="1" x14ac:dyDescent="0.25">
      <c r="A15" s="66" t="s">
        <v>247</v>
      </c>
      <c r="B15" s="12"/>
      <c r="C15" s="15"/>
      <c r="D15" s="12"/>
      <c r="G15" s="6" t="s">
        <v>654</v>
      </c>
      <c r="H15" s="64">
        <v>8.5</v>
      </c>
      <c r="I15" s="15" t="s">
        <v>256</v>
      </c>
      <c r="K15" s="6" t="s">
        <v>404</v>
      </c>
      <c r="L15" s="64">
        <v>-40</v>
      </c>
      <c r="M15" s="15" t="s">
        <v>405</v>
      </c>
      <c r="N15" s="5"/>
      <c r="O15" s="6" t="s">
        <v>634</v>
      </c>
      <c r="P15" s="5">
        <f>VLOOKUP(D2,Y3:AF12,3,FALSE)/P6</f>
        <v>0.74023771093224966</v>
      </c>
      <c r="Q15" s="15" t="s">
        <v>643</v>
      </c>
      <c r="S15" s="6" t="s">
        <v>670</v>
      </c>
      <c r="T15" s="98" t="s">
        <v>661</v>
      </c>
      <c r="U15" s="15" t="s">
        <v>662</v>
      </c>
      <c r="V15" s="5" t="s">
        <v>669</v>
      </c>
    </row>
    <row r="16" spans="1:32" ht="12.75" customHeight="1" x14ac:dyDescent="0.25">
      <c r="A16" s="71"/>
      <c r="B16" s="69"/>
      <c r="C16" s="70"/>
      <c r="D16" s="69"/>
      <c r="K16" s="6" t="s">
        <v>409</v>
      </c>
      <c r="L16" s="73">
        <v>1100</v>
      </c>
      <c r="M16" s="15" t="s">
        <v>408</v>
      </c>
      <c r="O16" s="6" t="s">
        <v>633</v>
      </c>
      <c r="P16" s="5" t="e">
        <f ca="1">B9/P6</f>
        <v>#NAME?</v>
      </c>
      <c r="Q16" s="15" t="s">
        <v>643</v>
      </c>
      <c r="S16" s="6" t="s">
        <v>670</v>
      </c>
      <c r="T16" s="98" t="s">
        <v>665</v>
      </c>
      <c r="U16" s="15" t="s">
        <v>662</v>
      </c>
      <c r="V16" s="6" t="s">
        <v>668</v>
      </c>
    </row>
    <row r="17" spans="1:31" ht="12.75" customHeight="1" x14ac:dyDescent="0.25">
      <c r="A17" s="6" t="s">
        <v>308</v>
      </c>
      <c r="B17" s="180" t="s">
        <v>811</v>
      </c>
      <c r="C17" s="181"/>
      <c r="D17" s="181"/>
      <c r="E17" s="182"/>
      <c r="G17" s="4" t="s">
        <v>656</v>
      </c>
      <c r="K17" s="6" t="s">
        <v>406</v>
      </c>
      <c r="L17" s="73">
        <v>0</v>
      </c>
      <c r="M17" s="15" t="s">
        <v>407</v>
      </c>
      <c r="O17" s="6" t="s">
        <v>241</v>
      </c>
      <c r="P17" s="5" t="e">
        <f ca="1">B10</f>
        <v>#NAME?</v>
      </c>
      <c r="Q17" s="15" t="s">
        <v>87</v>
      </c>
      <c r="Z17" s="5"/>
      <c r="AA17" s="5"/>
      <c r="AB17" s="5"/>
      <c r="AC17" s="5"/>
      <c r="AD17" s="5"/>
      <c r="AE17" s="5"/>
    </row>
    <row r="18" spans="1:31" ht="12.75" customHeight="1" x14ac:dyDescent="0.25">
      <c r="A18" s="9" t="s">
        <v>248</v>
      </c>
      <c r="B18" s="74">
        <f>D18*0.06479891</f>
        <v>1.969886864</v>
      </c>
      <c r="C18" s="15" t="s">
        <v>87</v>
      </c>
      <c r="D18" s="74">
        <v>30.4</v>
      </c>
      <c r="E18" s="30" t="s">
        <v>93</v>
      </c>
      <c r="K18" s="6" t="s">
        <v>644</v>
      </c>
      <c r="L18" s="73">
        <v>0</v>
      </c>
      <c r="M18" s="15" t="s">
        <v>645</v>
      </c>
      <c r="O18" s="6" t="s">
        <v>639</v>
      </c>
      <c r="P18" s="98" t="e">
        <f ca="1">IF(OR(D2="JBP",P8&lt;&gt;"Secant"),"G1","G7")</f>
        <v>#NAME?</v>
      </c>
      <c r="S18" s="4" t="s">
        <v>247</v>
      </c>
      <c r="T18" s="18"/>
      <c r="U18" s="19"/>
      <c r="Z18" s="5"/>
      <c r="AA18" s="5"/>
      <c r="AB18" s="5"/>
      <c r="AC18" s="5"/>
      <c r="AD18" s="5"/>
      <c r="AE18" s="5"/>
    </row>
    <row r="19" spans="1:31" ht="12.75" customHeight="1" x14ac:dyDescent="0.25">
      <c r="A19" s="9" t="s">
        <v>249</v>
      </c>
      <c r="B19" s="74" t="e">
        <f ca="1">B18/Case!F34</f>
        <v>#NAME?</v>
      </c>
      <c r="C19" s="15" t="s">
        <v>74</v>
      </c>
      <c r="D19" s="74" t="e">
        <f ca="1">B19</f>
        <v>#NAME?</v>
      </c>
      <c r="E19" s="30" t="s">
        <v>250</v>
      </c>
      <c r="G19" s="148" t="s">
        <v>657</v>
      </c>
      <c r="H19" s="145"/>
      <c r="I19" s="146"/>
      <c r="O19" s="6" t="s">
        <v>640</v>
      </c>
      <c r="P19" s="5">
        <f>B22/343</f>
        <v>2.6392303206997085</v>
      </c>
      <c r="Q19" s="15" t="s">
        <v>553</v>
      </c>
      <c r="Z19" s="5"/>
      <c r="AA19" s="5"/>
      <c r="AB19" s="5"/>
      <c r="AC19" s="5"/>
      <c r="AD19" s="5"/>
      <c r="AE19" s="5"/>
    </row>
    <row r="20" spans="1:31" ht="12.75" customHeight="1" x14ac:dyDescent="0.25">
      <c r="A20" s="9" t="s">
        <v>251</v>
      </c>
      <c r="B20" s="74" t="e">
        <f ca="1">D20</f>
        <v>#NAME?</v>
      </c>
      <c r="C20" s="15" t="s">
        <v>3</v>
      </c>
      <c r="D20" s="74" t="e">
        <f ca="1">D18/D10</f>
        <v>#NAME?</v>
      </c>
      <c r="E20" s="30" t="s">
        <v>250</v>
      </c>
      <c r="G20" s="144" t="s">
        <v>652</v>
      </c>
      <c r="H20" s="147">
        <v>1.5</v>
      </c>
      <c r="I20" s="146" t="s">
        <v>253</v>
      </c>
      <c r="K20" s="4" t="s">
        <v>247</v>
      </c>
      <c r="S20" s="6" t="s">
        <v>666</v>
      </c>
      <c r="T20" s="73">
        <v>650</v>
      </c>
      <c r="U20" s="15" t="s">
        <v>645</v>
      </c>
      <c r="Z20" s="5"/>
      <c r="AA20" s="5"/>
      <c r="AB20" s="5"/>
      <c r="AC20" s="5"/>
      <c r="AD20" s="5"/>
      <c r="AE20" s="5"/>
    </row>
    <row r="21" spans="1:31" ht="12.75" customHeight="1" x14ac:dyDescent="0.25">
      <c r="A21" s="12"/>
      <c r="B21" s="12"/>
      <c r="C21" s="30"/>
      <c r="D21" s="12"/>
      <c r="E21" s="30"/>
      <c r="G21" s="144" t="s">
        <v>653</v>
      </c>
      <c r="H21" s="147">
        <v>6.2</v>
      </c>
      <c r="I21" s="146" t="s">
        <v>655</v>
      </c>
      <c r="O21" s="4" t="s">
        <v>247</v>
      </c>
      <c r="S21" s="6" t="s">
        <v>667</v>
      </c>
      <c r="T21" s="73">
        <v>650</v>
      </c>
      <c r="U21" s="15" t="s">
        <v>645</v>
      </c>
      <c r="Z21" s="5"/>
      <c r="AA21" s="5"/>
      <c r="AB21" s="5"/>
      <c r="AC21" s="5"/>
      <c r="AD21" s="5"/>
      <c r="AE21" s="5"/>
    </row>
    <row r="22" spans="1:31" ht="12.75" customHeight="1" x14ac:dyDescent="0.25">
      <c r="A22" s="9" t="s">
        <v>252</v>
      </c>
      <c r="B22" s="75">
        <f>D22*0.3048</f>
        <v>905.25600000000009</v>
      </c>
      <c r="C22" s="15" t="s">
        <v>253</v>
      </c>
      <c r="D22" s="75">
        <v>2970</v>
      </c>
      <c r="E22" s="15" t="s">
        <v>254</v>
      </c>
      <c r="G22" s="144" t="s">
        <v>654</v>
      </c>
      <c r="H22" s="147">
        <v>4.7</v>
      </c>
      <c r="I22" s="146" t="s">
        <v>256</v>
      </c>
      <c r="K22" s="6" t="s">
        <v>641</v>
      </c>
      <c r="L22" s="5">
        <v>1.325</v>
      </c>
      <c r="M22" s="15" t="s">
        <v>3</v>
      </c>
      <c r="Z22" s="5"/>
      <c r="AA22" s="5"/>
      <c r="AB22" s="5"/>
      <c r="AC22" s="5"/>
      <c r="AD22" s="5"/>
      <c r="AE22" s="5"/>
    </row>
    <row r="23" spans="1:31" ht="12.75" customHeight="1" x14ac:dyDescent="0.25">
      <c r="A23" s="9" t="s">
        <v>255</v>
      </c>
      <c r="B23" s="75" t="e">
        <f ca="1">B10*B22*B22/2000</f>
        <v>#NAME?</v>
      </c>
      <c r="C23" s="15" t="s">
        <v>256</v>
      </c>
      <c r="D23" s="75" t="e">
        <f ca="1">B23/1.3558179483314</f>
        <v>#NAME?</v>
      </c>
      <c r="E23" s="30" t="s">
        <v>257</v>
      </c>
      <c r="G23" s="144"/>
      <c r="H23" s="147"/>
      <c r="I23" s="146"/>
      <c r="O23" s="6" t="s">
        <v>678</v>
      </c>
      <c r="P23" s="5">
        <v>0.23100000000000001</v>
      </c>
      <c r="Q23" s="15" t="s">
        <v>3</v>
      </c>
      <c r="Z23" s="5"/>
      <c r="AA23" s="5"/>
      <c r="AB23" s="5"/>
      <c r="AC23" s="5"/>
      <c r="AD23" s="5"/>
      <c r="AE23" s="5"/>
    </row>
    <row r="24" spans="1:31" ht="12.75" customHeight="1" x14ac:dyDescent="0.25">
      <c r="A24" s="12"/>
      <c r="B24" s="12"/>
      <c r="C24" s="30"/>
      <c r="D24" s="12"/>
      <c r="E24" s="30"/>
      <c r="G24" s="148" t="s">
        <v>658</v>
      </c>
      <c r="H24" s="147"/>
      <c r="I24" s="146"/>
      <c r="O24" s="140" t="e">
        <f ca="1">CONCATENATE("Ballistic Coefficent (",P18,")")</f>
        <v>#NAME?</v>
      </c>
      <c r="P24" s="5">
        <v>0.31900000000000001</v>
      </c>
      <c r="Q24" s="23" t="s">
        <v>3</v>
      </c>
      <c r="Z24" s="5"/>
      <c r="AA24" s="5"/>
      <c r="AB24" s="5"/>
      <c r="AC24" s="5"/>
      <c r="AD24" s="5"/>
      <c r="AE24" s="5"/>
    </row>
    <row r="25" spans="1:31" ht="12.75" customHeight="1" x14ac:dyDescent="0.25">
      <c r="A25" s="66" t="s">
        <v>258</v>
      </c>
      <c r="B25" s="76" t="e">
        <f ca="1">B26+B27+B28+B29</f>
        <v>#NAME?</v>
      </c>
      <c r="C25" s="65" t="s">
        <v>87</v>
      </c>
      <c r="D25" s="76" t="e">
        <f ca="1">B25/0.06479891</f>
        <v>#NAME?</v>
      </c>
      <c r="E25" s="65" t="s">
        <v>93</v>
      </c>
      <c r="G25" s="144" t="s">
        <v>652</v>
      </c>
      <c r="H25" s="147">
        <v>2</v>
      </c>
      <c r="I25" s="146" t="s">
        <v>253</v>
      </c>
      <c r="O25" s="140" t="e">
        <f ca="1">CONCATENATE("Form Factor (",P18,")")</f>
        <v>#NAME?</v>
      </c>
      <c r="P25" s="5">
        <v>0.85699999999999998</v>
      </c>
      <c r="Q25" s="15" t="s">
        <v>3</v>
      </c>
      <c r="Z25" s="5"/>
      <c r="AA25" s="5"/>
      <c r="AB25" s="5"/>
      <c r="AC25" s="5"/>
      <c r="AD25" s="5"/>
      <c r="AE25" s="5"/>
    </row>
    <row r="26" spans="1:31" ht="12.75" customHeight="1" x14ac:dyDescent="0.25">
      <c r="A26" s="9" t="s">
        <v>130</v>
      </c>
      <c r="B26" s="10" t="e">
        <f ca="1">Case!F10</f>
        <v>#NAME?</v>
      </c>
      <c r="C26" s="30" t="s">
        <v>87</v>
      </c>
      <c r="D26" s="5" t="e">
        <f ca="1">B26/0.06479891</f>
        <v>#NAME?</v>
      </c>
      <c r="E26" s="30" t="s">
        <v>93</v>
      </c>
      <c r="G26" s="144" t="s">
        <v>653</v>
      </c>
      <c r="H26" s="147">
        <v>8.4</v>
      </c>
      <c r="I26" s="146" t="s">
        <v>655</v>
      </c>
      <c r="O26" s="6" t="s">
        <v>641</v>
      </c>
      <c r="P26" s="5">
        <v>1.6</v>
      </c>
      <c r="Q26" s="15" t="s">
        <v>3</v>
      </c>
      <c r="S26" s="15"/>
      <c r="Z26" s="5"/>
      <c r="AA26" s="5"/>
      <c r="AB26" s="5"/>
      <c r="AC26" s="5"/>
      <c r="AD26" s="5"/>
      <c r="AE26" s="5"/>
    </row>
    <row r="27" spans="1:31" ht="12.75" customHeight="1" x14ac:dyDescent="0.25">
      <c r="A27" s="9" t="s">
        <v>180</v>
      </c>
      <c r="B27" s="10" t="e">
        <f ca="1">Case!F38</f>
        <v>#NAME?</v>
      </c>
      <c r="C27" s="30" t="s">
        <v>87</v>
      </c>
      <c r="D27" s="5" t="e">
        <f ca="1">B27/0.06479891</f>
        <v>#NAME?</v>
      </c>
      <c r="E27" s="30" t="s">
        <v>93</v>
      </c>
      <c r="G27" s="144" t="s">
        <v>654</v>
      </c>
      <c r="H27" s="147">
        <v>8.6</v>
      </c>
      <c r="I27" s="146" t="s">
        <v>256</v>
      </c>
      <c r="R27" s="18"/>
      <c r="Z27" s="5"/>
      <c r="AA27" s="5"/>
      <c r="AB27" s="5"/>
      <c r="AC27" s="5"/>
      <c r="AD27" s="5"/>
      <c r="AE27" s="5"/>
    </row>
    <row r="28" spans="1:31" ht="12.75" customHeight="1" x14ac:dyDescent="0.25">
      <c r="A28" s="9" t="s">
        <v>259</v>
      </c>
      <c r="B28" s="5">
        <f>B18</f>
        <v>1.969886864</v>
      </c>
      <c r="C28" s="30" t="s">
        <v>87</v>
      </c>
      <c r="D28" s="5">
        <f>B28/0.06479891</f>
        <v>30.4</v>
      </c>
      <c r="E28" s="30" t="s">
        <v>93</v>
      </c>
      <c r="G28" s="144"/>
      <c r="H28" s="145"/>
      <c r="I28" s="146"/>
      <c r="W28" s="15"/>
      <c r="Z28" s="5"/>
      <c r="AA28" s="5"/>
      <c r="AB28" s="5"/>
      <c r="AC28" s="5"/>
      <c r="AD28" s="5"/>
      <c r="AE28" s="5"/>
    </row>
    <row r="29" spans="1:31" ht="12.75" customHeight="1" x14ac:dyDescent="0.25">
      <c r="A29" s="9" t="s">
        <v>260</v>
      </c>
      <c r="B29" s="5" t="e">
        <f ca="1">B10</f>
        <v>#NAME?</v>
      </c>
      <c r="C29" s="30" t="s">
        <v>87</v>
      </c>
      <c r="D29" s="5" t="e">
        <f ca="1">B29/0.06479891</f>
        <v>#NAME?</v>
      </c>
      <c r="E29" s="30" t="s">
        <v>93</v>
      </c>
      <c r="G29" s="148" t="s">
        <v>709</v>
      </c>
      <c r="H29" s="147"/>
      <c r="I29" s="146"/>
      <c r="W29" s="141"/>
      <c r="Z29" s="5"/>
      <c r="AA29" s="5"/>
      <c r="AB29" s="5"/>
      <c r="AC29" s="5"/>
      <c r="AD29" s="5"/>
      <c r="AE29" s="5"/>
    </row>
    <row r="30" spans="1:31" ht="12.75" customHeight="1" x14ac:dyDescent="0.25">
      <c r="A30" s="12"/>
      <c r="B30" s="12"/>
      <c r="C30" s="30"/>
      <c r="D30" s="12"/>
      <c r="E30" s="30"/>
      <c r="G30" s="144" t="s">
        <v>652</v>
      </c>
      <c r="H30" s="147">
        <v>3.1</v>
      </c>
      <c r="I30" s="146" t="s">
        <v>253</v>
      </c>
      <c r="W30" s="15"/>
      <c r="Z30" s="5"/>
      <c r="AA30" s="5"/>
      <c r="AB30" s="5"/>
      <c r="AC30" s="5"/>
      <c r="AD30" s="5"/>
      <c r="AE30" s="5"/>
    </row>
    <row r="31" spans="1:31" ht="12.75" customHeight="1" x14ac:dyDescent="0.25">
      <c r="A31" s="66" t="s">
        <v>261</v>
      </c>
      <c r="B31" s="77" t="e">
        <f ca="1">1000/B25</f>
        <v>#NAME?</v>
      </c>
      <c r="C31" s="65" t="s">
        <v>262</v>
      </c>
      <c r="D31" s="77" t="e">
        <f ca="1">7000/D25</f>
        <v>#NAME?</v>
      </c>
      <c r="E31" s="65" t="s">
        <v>263</v>
      </c>
      <c r="G31" s="144" t="s">
        <v>653</v>
      </c>
      <c r="H31" s="147">
        <v>12.6</v>
      </c>
      <c r="I31" s="146" t="s">
        <v>655</v>
      </c>
      <c r="W31" s="15"/>
      <c r="Z31" s="5"/>
      <c r="AA31" s="5"/>
      <c r="AB31" s="5"/>
      <c r="AC31" s="5"/>
      <c r="AD31" s="5"/>
      <c r="AE31" s="5"/>
    </row>
    <row r="32" spans="1:31" ht="12.75" customHeight="1" x14ac:dyDescent="0.25">
      <c r="A32" s="78" t="s">
        <v>264</v>
      </c>
      <c r="B32" s="79">
        <v>83</v>
      </c>
      <c r="C32" s="80" t="s">
        <v>262</v>
      </c>
      <c r="D32" s="79">
        <v>38</v>
      </c>
      <c r="E32" s="80" t="s">
        <v>263</v>
      </c>
      <c r="G32" s="144" t="s">
        <v>654</v>
      </c>
      <c r="H32" s="147">
        <v>19.399999999999999</v>
      </c>
      <c r="I32" s="146" t="s">
        <v>256</v>
      </c>
      <c r="V32" s="5"/>
      <c r="W32" s="15"/>
    </row>
    <row r="33" spans="1:23" ht="12.75" customHeight="1" x14ac:dyDescent="0.25">
      <c r="A33" s="78" t="s">
        <v>265</v>
      </c>
      <c r="B33" s="78">
        <v>57</v>
      </c>
      <c r="C33" s="80" t="s">
        <v>262</v>
      </c>
      <c r="D33" s="78">
        <v>26</v>
      </c>
      <c r="E33" s="80" t="s">
        <v>263</v>
      </c>
      <c r="S33" s="4"/>
      <c r="V33" s="5"/>
      <c r="W33" s="15"/>
    </row>
    <row r="34" spans="1:23" ht="12.75" customHeight="1" x14ac:dyDescent="0.25">
      <c r="A34" s="78" t="s">
        <v>266</v>
      </c>
      <c r="B34" s="78">
        <v>42</v>
      </c>
      <c r="C34" s="80" t="s">
        <v>262</v>
      </c>
      <c r="D34" s="78">
        <v>19</v>
      </c>
      <c r="E34" s="80" t="s">
        <v>263</v>
      </c>
      <c r="V34" s="5"/>
      <c r="W34" s="15"/>
    </row>
    <row r="35" spans="1:23" ht="12.75" customHeight="1" x14ac:dyDescent="0.2">
      <c r="U35" s="39"/>
      <c r="V35" s="5"/>
      <c r="W35" s="6"/>
    </row>
    <row r="36" spans="1:23" ht="12.75" customHeight="1" x14ac:dyDescent="0.2">
      <c r="U36" s="39"/>
      <c r="V36" s="5"/>
      <c r="W36" s="6"/>
    </row>
  </sheetData>
  <mergeCells count="2">
    <mergeCell ref="B2:C2"/>
    <mergeCell ref="B17:E17"/>
  </mergeCells>
  <phoneticPr fontId="8" type="noConversion"/>
  <dataValidations count="1">
    <dataValidation type="list" allowBlank="1" showInputMessage="1" showErrorMessage="1" sqref="D2">
      <formula1>$Y$3:$Y$12</formula1>
    </dataValidation>
  </dataValidations>
  <hyperlinks>
    <hyperlink ref="A2" r:id="rId1"/>
    <hyperlink ref="O2" r:id="rId2"/>
    <hyperlink ref="S2" r:id="rId3"/>
    <hyperlink ref="K2" r:id="rId4"/>
    <hyperlink ref="G2" r:id="rId5"/>
  </hyperlinks>
  <pageMargins left="0.7" right="0.7" top="0.75" bottom="0.75" header="0.3" footer="0.3"/>
  <pageSetup orientation="portrait" r:id="rId6"/>
  <ignoredErrors>
    <ignoredError sqref="D10 AA5:AB5" formula="1"/>
  </ignoredErrors>
  <legacyDrawing r:id="rId7"/>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U57"/>
  <sheetViews>
    <sheetView zoomScaleNormal="100" workbookViewId="0">
      <pane ySplit="2" topLeftCell="A3" activePane="bottomLeft" state="frozen"/>
      <selection pane="bottomLeft" activeCell="F3" sqref="F3"/>
    </sheetView>
  </sheetViews>
  <sheetFormatPr defaultRowHeight="12.75" x14ac:dyDescent="0.25"/>
  <cols>
    <col min="1" max="1" width="22.7109375" style="6" customWidth="1"/>
    <col min="2" max="2" width="8.7109375" style="5" customWidth="1"/>
    <col min="3" max="4" width="5.7109375" style="15" customWidth="1"/>
    <col min="5" max="5" width="22.7109375" style="6" customWidth="1"/>
    <col min="6" max="6" width="8.7109375" style="5" customWidth="1"/>
    <col min="7" max="8" width="5.7109375" style="15" customWidth="1"/>
    <col min="9" max="9" width="22.7109375" style="6" customWidth="1"/>
    <col min="10" max="10" width="8.7109375" style="5" customWidth="1"/>
    <col min="11" max="12" width="5.7109375" style="15" customWidth="1"/>
    <col min="13" max="13" width="22.7109375" style="6" customWidth="1"/>
    <col min="14" max="14" width="9.140625" style="5" bestFit="1" customWidth="1"/>
    <col min="15" max="15" width="5.7109375" style="15" customWidth="1"/>
    <col min="16" max="16" width="5.7109375" style="6" customWidth="1"/>
    <col min="17" max="17" width="22.7109375" style="6" customWidth="1"/>
    <col min="18" max="18" width="8.7109375" style="5" customWidth="1"/>
    <col min="19" max="20" width="5.7109375" style="15" customWidth="1"/>
    <col min="21" max="21" width="9.140625" style="12" hidden="1" customWidth="1"/>
    <col min="22" max="22" width="9.140625" style="12" customWidth="1"/>
    <col min="23" max="16384" width="9.140625" style="12"/>
  </cols>
  <sheetData>
    <row r="1" spans="1:21" x14ac:dyDescent="0.2">
      <c r="A1" s="4" t="s">
        <v>0</v>
      </c>
      <c r="E1" s="7" t="s">
        <v>33</v>
      </c>
      <c r="F1" s="95">
        <f>IF(Summary!B1="Custom",Summary!B8,Summary!F8)</f>
        <v>3</v>
      </c>
      <c r="G1" s="8" t="s">
        <v>3</v>
      </c>
      <c r="H1" s="8"/>
      <c r="I1" s="9" t="s">
        <v>503</v>
      </c>
      <c r="J1" s="95">
        <f>IF(Summary!B1="Custom",Summary!B9,Summary!F9)</f>
        <v>1.2</v>
      </c>
      <c r="K1" s="11" t="s">
        <v>3</v>
      </c>
      <c r="L1" s="8"/>
      <c r="M1" s="26" t="s">
        <v>4</v>
      </c>
      <c r="N1" s="95">
        <f>IF(Summary!B1="Custom",Summary!B10,Summary!F10)</f>
        <v>0.6</v>
      </c>
      <c r="O1" s="27" t="s">
        <v>3</v>
      </c>
      <c r="U1" s="12">
        <v>1</v>
      </c>
    </row>
    <row r="2" spans="1:21" x14ac:dyDescent="0.25">
      <c r="A2" s="29" t="s">
        <v>5</v>
      </c>
      <c r="B2" s="16" t="e">
        <f ca="1">B17/B9</f>
        <v>#NAME?</v>
      </c>
      <c r="C2" s="31" t="s">
        <v>3</v>
      </c>
      <c r="E2" s="9" t="s">
        <v>32</v>
      </c>
      <c r="F2" s="10" t="e">
        <f ca="1">F18/B9</f>
        <v>#NAME?</v>
      </c>
      <c r="G2" s="15" t="s">
        <v>3</v>
      </c>
      <c r="H2" s="8"/>
      <c r="I2" s="9" t="s">
        <v>504</v>
      </c>
      <c r="J2" s="10">
        <f>J15/B9</f>
        <v>1.4258064516129032</v>
      </c>
      <c r="K2" s="11" t="s">
        <v>3</v>
      </c>
      <c r="L2" s="8"/>
      <c r="M2" s="26" t="s">
        <v>4</v>
      </c>
      <c r="N2" s="96" t="e">
        <f ca="1">N14/B9</f>
        <v>#NAME?</v>
      </c>
      <c r="O2" s="15" t="s">
        <v>3</v>
      </c>
      <c r="U2" s="12">
        <v>-1</v>
      </c>
    </row>
    <row r="3" spans="1:21" x14ac:dyDescent="0.25">
      <c r="F3" s="96" t="e">
        <f ca="1">(F18+J16)/B9</f>
        <v>#NAME?</v>
      </c>
      <c r="J3" s="96"/>
      <c r="N3" s="96"/>
      <c r="T3" s="23"/>
      <c r="U3" s="6">
        <f>Case!C29</f>
        <v>0.5</v>
      </c>
    </row>
    <row r="4" spans="1:21" x14ac:dyDescent="0.25">
      <c r="A4" s="17" t="s">
        <v>68</v>
      </c>
      <c r="E4" s="17" t="s">
        <v>9</v>
      </c>
      <c r="F4" s="96">
        <v>2.7526080476900101</v>
      </c>
      <c r="I4" s="17" t="s">
        <v>31</v>
      </c>
      <c r="M4" s="17" t="s">
        <v>15</v>
      </c>
      <c r="N4" s="18"/>
      <c r="O4" s="19"/>
      <c r="P4" s="15"/>
      <c r="T4" s="23"/>
      <c r="U4" s="5" t="e">
        <f ca="1">IF(AND(Case!B29="Yes at",Case!C29&lt;N2),Vol_Conical(N9+N5*U3*B9,N10,N9,N15,N17,N18,N5)+Vol_Elliptical(MIN(N10,N9+N5*U3*B9),N11,N20,N21,N22,N22)-IF(N13="Open",Vol_Elliptical(MIN(N35,N9+N5*U3*B9),N11,N26,0,N27,N27),0),0)</f>
        <v>#NAME?</v>
      </c>
    </row>
    <row r="5" spans="1:21" x14ac:dyDescent="0.25">
      <c r="A5" s="6" t="s">
        <v>69</v>
      </c>
      <c r="B5" s="5">
        <v>1</v>
      </c>
      <c r="C5" s="15" t="s">
        <v>48</v>
      </c>
      <c r="E5" s="6" t="s">
        <v>47</v>
      </c>
      <c r="F5" s="5">
        <f>B5</f>
        <v>1</v>
      </c>
      <c r="G5" s="15" t="s">
        <v>48</v>
      </c>
      <c r="I5" s="6" t="s">
        <v>49</v>
      </c>
      <c r="J5" s="5">
        <f>-F5</f>
        <v>-1</v>
      </c>
      <c r="K5" s="15" t="s">
        <v>48</v>
      </c>
      <c r="M5" s="6" t="s">
        <v>64</v>
      </c>
      <c r="N5" s="5">
        <f>J5</f>
        <v>-1</v>
      </c>
      <c r="O5" s="15" t="s">
        <v>48</v>
      </c>
      <c r="P5" s="15"/>
      <c r="T5" s="23"/>
    </row>
    <row r="6" spans="1:21" x14ac:dyDescent="0.25">
      <c r="A6" s="6" t="s">
        <v>70</v>
      </c>
      <c r="B6" s="5">
        <v>0</v>
      </c>
      <c r="C6" s="15" t="s">
        <v>2</v>
      </c>
      <c r="E6" s="6" t="s">
        <v>417</v>
      </c>
      <c r="F6" s="5">
        <f>B6</f>
        <v>0</v>
      </c>
      <c r="G6" s="15" t="s">
        <v>2</v>
      </c>
      <c r="I6" s="6" t="s">
        <v>413</v>
      </c>
      <c r="J6" s="5">
        <f>F6</f>
        <v>0</v>
      </c>
      <c r="K6" s="15" t="s">
        <v>2</v>
      </c>
      <c r="M6" s="6" t="s">
        <v>418</v>
      </c>
      <c r="N6" s="5">
        <f>J14</f>
        <v>-8.84</v>
      </c>
      <c r="O6" s="15" t="s">
        <v>2</v>
      </c>
      <c r="P6" s="15"/>
      <c r="T6" s="23"/>
    </row>
    <row r="7" spans="1:21" x14ac:dyDescent="0.25">
      <c r="P7" s="15"/>
      <c r="T7" s="23"/>
    </row>
    <row r="8" spans="1:21" x14ac:dyDescent="0.25">
      <c r="A8" s="17" t="s">
        <v>82</v>
      </c>
      <c r="E8" s="17" t="s">
        <v>30</v>
      </c>
      <c r="F8" s="97" t="str">
        <f>IF(F1&gt;=2,"Very Low Drag","Transitional")</f>
        <v>Very Low Drag</v>
      </c>
      <c r="I8" s="17" t="s">
        <v>30</v>
      </c>
      <c r="M8" s="17" t="s">
        <v>30</v>
      </c>
      <c r="P8" s="15"/>
      <c r="T8" s="23"/>
    </row>
    <row r="9" spans="1:21" x14ac:dyDescent="0.2">
      <c r="A9" s="13" t="s">
        <v>1</v>
      </c>
      <c r="B9" s="138">
        <f>IF(Summary!B1="Custom",Summary!B7,Summary!F7)</f>
        <v>6.2</v>
      </c>
      <c r="C9" s="14" t="s">
        <v>2</v>
      </c>
      <c r="E9" s="4" t="s">
        <v>7</v>
      </c>
      <c r="F9" s="18" t="e">
        <f ca="1">IF(F12&lt;0,"Sharp",IF(F12=0,"Rounded","Blunt"))</f>
        <v>#NAME?</v>
      </c>
      <c r="G9" s="21" t="e">
        <f ca="1">IF(F11=F6,"Tangent","Secant")</f>
        <v>#NAME?</v>
      </c>
      <c r="I9" s="6" t="s">
        <v>420</v>
      </c>
      <c r="J9" s="98" t="str">
        <f>IF(Summary!B1="Custom",Summary!B11,Summary!F11)</f>
        <v>Yes</v>
      </c>
      <c r="M9" s="6" t="s">
        <v>426</v>
      </c>
      <c r="N9" s="5">
        <f>N6</f>
        <v>-8.84</v>
      </c>
      <c r="O9" s="15" t="s">
        <v>2</v>
      </c>
      <c r="P9" s="15"/>
      <c r="T9" s="23"/>
    </row>
    <row r="10" spans="1:21" x14ac:dyDescent="0.25">
      <c r="A10" s="6" t="s">
        <v>78</v>
      </c>
      <c r="B10" s="5" t="e">
        <f ca="1">B21</f>
        <v>#NAME?</v>
      </c>
      <c r="C10" s="15" t="s">
        <v>2</v>
      </c>
      <c r="E10" s="6" t="s">
        <v>388</v>
      </c>
      <c r="F10" s="5">
        <f>B9/100*IF(F1&lt;=1,0,IF(F1&lt;2,(F1-1)*(F1+6),F1+6))</f>
        <v>0.55800000000000005</v>
      </c>
      <c r="G10" s="15" t="s">
        <v>2</v>
      </c>
      <c r="I10" s="6" t="s">
        <v>390</v>
      </c>
      <c r="J10" s="98" t="str">
        <f>IF(Summary!B1="Custom",Summary!B19,Summary!F19)</f>
        <v>Yes at</v>
      </c>
      <c r="K10" s="121">
        <f>IF(Summary!B1="Custom",Summary!C19,Summary!G19)</f>
        <v>0.2</v>
      </c>
      <c r="L10" s="15" t="s">
        <v>405</v>
      </c>
      <c r="M10" s="6" t="s">
        <v>427</v>
      </c>
      <c r="N10" s="5">
        <f>N9+N5*N15</f>
        <v>-12.559999999999999</v>
      </c>
      <c r="O10" s="15" t="s">
        <v>2</v>
      </c>
      <c r="P10" s="15"/>
      <c r="T10" s="23"/>
    </row>
    <row r="11" spans="1:21" x14ac:dyDescent="0.25">
      <c r="A11" s="6" t="s">
        <v>91</v>
      </c>
      <c r="B11" s="5" t="e">
        <f ca="1">(B35*B44+B48*B57)/B14</f>
        <v>#NAME?</v>
      </c>
      <c r="C11" s="15" t="s">
        <v>2</v>
      </c>
      <c r="E11" s="6" t="s">
        <v>23</v>
      </c>
      <c r="F11" s="20" t="e">
        <f ca="1">Xc_Elliptical(F6,B9,F10,B9*F1,F13,F14,F5)</f>
        <v>#NAME?</v>
      </c>
      <c r="G11" s="15" t="s">
        <v>2</v>
      </c>
      <c r="I11" s="6" t="s">
        <v>59</v>
      </c>
      <c r="J11" s="20">
        <f>J6+J5*J16</f>
        <v>-2.64</v>
      </c>
      <c r="K11" s="15" t="s">
        <v>2</v>
      </c>
      <c r="M11" s="6" t="s">
        <v>411</v>
      </c>
      <c r="N11" s="5" t="e">
        <f ca="1">N10+N5*N16</f>
        <v>#NAME?</v>
      </c>
      <c r="O11" s="15" t="s">
        <v>2</v>
      </c>
      <c r="P11" s="15"/>
      <c r="T11" s="23"/>
    </row>
    <row r="12" spans="1:21" x14ac:dyDescent="0.25">
      <c r="A12" s="6" t="s">
        <v>94</v>
      </c>
      <c r="B12" s="5" t="e">
        <f ca="1">B14/B25</f>
        <v>#NAME?</v>
      </c>
      <c r="C12" s="15" t="s">
        <v>74</v>
      </c>
      <c r="E12" s="6" t="s">
        <v>24</v>
      </c>
      <c r="F12" s="20" t="e">
        <f ca="1">Yc_Elliptical(F6,F11,B9,B9*F1,F13,F14,F5)</f>
        <v>#NAME?</v>
      </c>
      <c r="G12" s="15" t="s">
        <v>2</v>
      </c>
      <c r="I12" s="6" t="s">
        <v>58</v>
      </c>
      <c r="J12" s="20">
        <f>J11+J5*J20</f>
        <v>-2.74</v>
      </c>
      <c r="K12" s="15" t="s">
        <v>2</v>
      </c>
      <c r="M12" s="6" t="s">
        <v>410</v>
      </c>
      <c r="N12" s="5">
        <f>IF(N1&gt;=0.1,12-1.5*F1,0)</f>
        <v>7.5</v>
      </c>
      <c r="O12" s="15" t="s">
        <v>27</v>
      </c>
      <c r="P12" s="15"/>
      <c r="T12" s="23"/>
    </row>
    <row r="13" spans="1:21" x14ac:dyDescent="0.25">
      <c r="A13" s="6" t="s">
        <v>231</v>
      </c>
      <c r="B13" s="5" t="e">
        <f ca="1">400*B14/(PI()*B9*B9)</f>
        <v>#NAME?</v>
      </c>
      <c r="C13" s="15" t="s">
        <v>232</v>
      </c>
      <c r="E13" s="6" t="s">
        <v>25</v>
      </c>
      <c r="F13" s="5" t="e">
        <f ca="1">IF(F1&gt;1,ROUND(RadX_Elliptical(F1)*2,0)/2,RadX_Elliptical(F1))*B9</f>
        <v>#NAME?</v>
      </c>
      <c r="G13" s="15" t="s">
        <v>2</v>
      </c>
      <c r="I13" s="6" t="s">
        <v>60</v>
      </c>
      <c r="J13" s="20">
        <f>J11+J5*J19</f>
        <v>-4.04</v>
      </c>
      <c r="K13" s="15" t="s">
        <v>2</v>
      </c>
      <c r="M13" s="4" t="s">
        <v>16</v>
      </c>
      <c r="N13" s="18" t="str">
        <f>IF(N24&gt;0,"Open","Closed")</f>
        <v>Open</v>
      </c>
      <c r="P13" s="15"/>
      <c r="T13" s="23"/>
    </row>
    <row r="14" spans="1:21" x14ac:dyDescent="0.25">
      <c r="A14" s="4" t="s">
        <v>90</v>
      </c>
      <c r="B14" s="18" t="e">
        <f ca="1">B44+B57</f>
        <v>#NAME?</v>
      </c>
      <c r="C14" s="19" t="s">
        <v>87</v>
      </c>
      <c r="E14" s="6" t="s">
        <v>26</v>
      </c>
      <c r="F14" s="5" t="e">
        <f ca="1">RadY_Elliptical(F1)*F13</f>
        <v>#NAME?</v>
      </c>
      <c r="G14" s="15" t="s">
        <v>2</v>
      </c>
      <c r="I14" s="6" t="s">
        <v>416</v>
      </c>
      <c r="J14" s="5">
        <f>J6+J5*J15</f>
        <v>-8.84</v>
      </c>
      <c r="K14" s="15" t="s">
        <v>2</v>
      </c>
      <c r="M14" s="6" t="s">
        <v>65</v>
      </c>
      <c r="N14" s="10" t="e">
        <f ca="1">N15+N16</f>
        <v>#NAME?</v>
      </c>
      <c r="O14" s="15" t="s">
        <v>2</v>
      </c>
      <c r="P14" s="15"/>
      <c r="T14" s="23"/>
    </row>
    <row r="15" spans="1:21" x14ac:dyDescent="0.25">
      <c r="B15" s="64" t="e">
        <f ca="1">B14/0.06479891</f>
        <v>#NAME?</v>
      </c>
      <c r="C15" s="15" t="s">
        <v>93</v>
      </c>
      <c r="E15" s="6" t="s">
        <v>414</v>
      </c>
      <c r="F15" s="5" t="e">
        <f ca="1">F6+F5*F19</f>
        <v>#NAME?</v>
      </c>
      <c r="G15" s="15" t="s">
        <v>2</v>
      </c>
      <c r="I15" s="6" t="s">
        <v>85</v>
      </c>
      <c r="J15" s="5">
        <f>J16+J17+J19</f>
        <v>8.84</v>
      </c>
      <c r="K15" s="15" t="s">
        <v>2</v>
      </c>
      <c r="M15" s="6" t="s">
        <v>428</v>
      </c>
      <c r="N15" s="5">
        <f>N1*B9</f>
        <v>3.7199999999999998</v>
      </c>
      <c r="O15" s="15" t="s">
        <v>2</v>
      </c>
      <c r="P15" s="15"/>
      <c r="T15" s="23"/>
    </row>
    <row r="16" spans="1:21" x14ac:dyDescent="0.25">
      <c r="A16" s="17" t="s">
        <v>30</v>
      </c>
      <c r="E16" s="6" t="s">
        <v>415</v>
      </c>
      <c r="F16" s="5" t="e">
        <f ca="1">F6+F5*F18</f>
        <v>#NAME?</v>
      </c>
      <c r="G16" s="15" t="s">
        <v>2</v>
      </c>
      <c r="I16" s="6" t="s">
        <v>53</v>
      </c>
      <c r="J16" s="5">
        <f>IF(J10="Yes at",J19+K10*B9,J19)</f>
        <v>2.64</v>
      </c>
      <c r="K16" s="15" t="s">
        <v>2</v>
      </c>
      <c r="M16" s="6" t="s">
        <v>20</v>
      </c>
      <c r="N16" s="5" t="e">
        <f ca="1">N5*(Inv_Elliptical(N25/2,N20,N21,N22,N22,N5)-N5*N15-N9)</f>
        <v>#NAME?</v>
      </c>
      <c r="O16" s="15" t="s">
        <v>2</v>
      </c>
      <c r="P16" s="15"/>
      <c r="T16" s="23"/>
    </row>
    <row r="17" spans="1:20" x14ac:dyDescent="0.25">
      <c r="A17" s="4" t="s">
        <v>71</v>
      </c>
      <c r="B17" s="18" t="e">
        <f ca="1">B18+B19+B20</f>
        <v>#NAME?</v>
      </c>
      <c r="C17" s="19" t="s">
        <v>2</v>
      </c>
      <c r="E17" s="4" t="s">
        <v>14</v>
      </c>
      <c r="F17" s="18" t="e">
        <f ca="1">IF(B9*F1&gt;F18,"Filleted","Unfilleted")</f>
        <v>#NAME?</v>
      </c>
      <c r="I17" s="6" t="s">
        <v>55</v>
      </c>
      <c r="J17" s="5">
        <f>J1*B9-J16</f>
        <v>4.7999999999999989</v>
      </c>
      <c r="K17" s="15" t="s">
        <v>2</v>
      </c>
      <c r="M17" s="6" t="s">
        <v>19</v>
      </c>
      <c r="N17" s="5">
        <f>J18</f>
        <v>6.2</v>
      </c>
      <c r="O17" s="15" t="s">
        <v>2</v>
      </c>
      <c r="P17" s="15"/>
      <c r="T17" s="23"/>
    </row>
    <row r="18" spans="1:20" x14ac:dyDescent="0.25">
      <c r="A18" s="6" t="s">
        <v>72</v>
      </c>
      <c r="B18" s="5" t="e">
        <f ca="1">F18</f>
        <v>#NAME?</v>
      </c>
      <c r="C18" s="15" t="s">
        <v>2</v>
      </c>
      <c r="E18" s="6" t="s">
        <v>54</v>
      </c>
      <c r="F18" s="5" t="e">
        <f ca="1">F5*F22+F24-F6</f>
        <v>#NAME?</v>
      </c>
      <c r="G18" s="15" t="s">
        <v>2</v>
      </c>
      <c r="I18" s="6" t="s">
        <v>526</v>
      </c>
      <c r="J18" s="5">
        <f>B9</f>
        <v>6.2</v>
      </c>
      <c r="K18" s="15" t="s">
        <v>2</v>
      </c>
      <c r="M18" s="6" t="s">
        <v>422</v>
      </c>
      <c r="N18" s="5">
        <f>N17-2*N15*TAN(N12*PI()/180)</f>
        <v>5.2205054179497754</v>
      </c>
      <c r="O18" s="15" t="s">
        <v>2</v>
      </c>
      <c r="P18" s="15"/>
      <c r="T18" s="23"/>
    </row>
    <row r="19" spans="1:20" x14ac:dyDescent="0.25">
      <c r="A19" s="6" t="s">
        <v>73</v>
      </c>
      <c r="B19" s="5">
        <f>J15</f>
        <v>8.84</v>
      </c>
      <c r="C19" s="15" t="s">
        <v>2</v>
      </c>
      <c r="E19" s="6" t="s">
        <v>45</v>
      </c>
      <c r="F19" s="5" t="e">
        <f ca="1">IF(F9="Sharp",F5*(Fillet_Contact_PosX(F11,F12,F24,F13,F14,F5)-F6),F13)</f>
        <v>#NAME?</v>
      </c>
      <c r="G19" s="15" t="s">
        <v>2</v>
      </c>
      <c r="I19" s="6" t="s">
        <v>51</v>
      </c>
      <c r="J19" s="5">
        <f>14/5*B47</f>
        <v>1.4</v>
      </c>
      <c r="K19" s="15" t="s">
        <v>2</v>
      </c>
      <c r="M19" s="6" t="s">
        <v>423</v>
      </c>
      <c r="N19" s="5" t="e">
        <f ca="1">2*Elliptical(N11,N20,N21,N22,N22)</f>
        <v>#NAME?</v>
      </c>
      <c r="O19" s="15" t="s">
        <v>2</v>
      </c>
      <c r="P19" s="15"/>
      <c r="T19" s="23"/>
    </row>
    <row r="20" spans="1:20" x14ac:dyDescent="0.25">
      <c r="A20" s="6" t="s">
        <v>17</v>
      </c>
      <c r="B20" s="5" t="e">
        <f ca="1">N14</f>
        <v>#NAME?</v>
      </c>
      <c r="C20" s="15" t="s">
        <v>2</v>
      </c>
      <c r="E20" s="6" t="s">
        <v>18</v>
      </c>
      <c r="F20" s="5">
        <f>J18</f>
        <v>6.2</v>
      </c>
      <c r="G20" s="15" t="s">
        <v>2</v>
      </c>
      <c r="I20" s="6" t="s">
        <v>61</v>
      </c>
      <c r="J20" s="5">
        <f>B47/5</f>
        <v>0.1</v>
      </c>
      <c r="K20" s="15" t="s">
        <v>2</v>
      </c>
      <c r="M20" s="6" t="s">
        <v>39</v>
      </c>
      <c r="N20" s="5">
        <f>N9+N5*(N15-2*B47*SIN(N12*PI()/180))</f>
        <v>-12.429473807779948</v>
      </c>
      <c r="O20" s="15" t="s">
        <v>2</v>
      </c>
      <c r="P20" s="15"/>
      <c r="T20" s="23"/>
    </row>
    <row r="21" spans="1:20" x14ac:dyDescent="0.25">
      <c r="A21" s="4" t="s">
        <v>92</v>
      </c>
      <c r="B21" s="18" t="e">
        <f ca="1">B20/25.4</f>
        <v>#NAME?</v>
      </c>
      <c r="C21" s="19" t="s">
        <v>2</v>
      </c>
      <c r="E21" s="6" t="s">
        <v>10</v>
      </c>
      <c r="F21" s="5" t="e">
        <f ca="1">2*Elliptical(F6+F5*F19,F11,F12,F13,F14)</f>
        <v>#NAME?</v>
      </c>
      <c r="G21" s="15" t="s">
        <v>2</v>
      </c>
      <c r="I21" s="6" t="s">
        <v>52</v>
      </c>
      <c r="J21" s="5">
        <f>J19-J20</f>
        <v>1.2999999999999998</v>
      </c>
      <c r="K21" s="15" t="s">
        <v>2</v>
      </c>
      <c r="M21" s="6" t="s">
        <v>40</v>
      </c>
      <c r="N21" s="5">
        <f>N18/2-2*B47*COS(N12*PI()/180)</f>
        <v>1.6188078476010772</v>
      </c>
      <c r="O21" s="15" t="s">
        <v>2</v>
      </c>
      <c r="P21" s="15"/>
      <c r="T21" s="23"/>
    </row>
    <row r="22" spans="1:20" x14ac:dyDescent="0.25">
      <c r="A22" s="6" t="s">
        <v>79</v>
      </c>
      <c r="C22" s="15" t="s">
        <v>2</v>
      </c>
      <c r="E22" s="6" t="s">
        <v>13</v>
      </c>
      <c r="F22" s="20" t="e">
        <f ca="1">F5*(F6+IF(F1*2=F19,F19-F24,F19-SQRT(ABS((F24*F24-F21*F21/4)))))</f>
        <v>#NAME?</v>
      </c>
      <c r="G22" s="15" t="s">
        <v>2</v>
      </c>
      <c r="I22" s="6" t="s">
        <v>50</v>
      </c>
      <c r="J22" s="5">
        <f>IF(J9="Yes",B47*2/5,0)</f>
        <v>0.2</v>
      </c>
      <c r="K22" s="15" t="s">
        <v>2</v>
      </c>
      <c r="M22" s="6" t="s">
        <v>66</v>
      </c>
      <c r="N22" s="5">
        <f>2*B47</f>
        <v>1</v>
      </c>
      <c r="O22" s="15" t="s">
        <v>2</v>
      </c>
      <c r="P22" s="15"/>
      <c r="T22" s="23"/>
    </row>
    <row r="23" spans="1:20" x14ac:dyDescent="0.25">
      <c r="A23" s="6" t="s">
        <v>80</v>
      </c>
      <c r="C23" s="15" t="s">
        <v>2</v>
      </c>
      <c r="E23" s="6" t="s">
        <v>12</v>
      </c>
      <c r="F23" s="5" t="e">
        <f ca="1">F5*F22+F24-F19-F6</f>
        <v>#NAME?</v>
      </c>
      <c r="G23" s="15" t="s">
        <v>2</v>
      </c>
      <c r="I23" s="6" t="s">
        <v>56</v>
      </c>
      <c r="J23" s="5">
        <f>J18-2*J22</f>
        <v>5.8</v>
      </c>
      <c r="K23" s="15" t="s">
        <v>2</v>
      </c>
      <c r="M23" s="6" t="s">
        <v>41</v>
      </c>
      <c r="N23" s="5" t="e">
        <f ca="1">ABS(N11-N35)</f>
        <v>#NAME?</v>
      </c>
      <c r="O23" s="15" t="s">
        <v>2</v>
      </c>
      <c r="P23" s="15"/>
      <c r="T23" s="23"/>
    </row>
    <row r="24" spans="1:20" x14ac:dyDescent="0.25">
      <c r="A24" s="6" t="s">
        <v>81</v>
      </c>
      <c r="C24" s="15" t="s">
        <v>2</v>
      </c>
      <c r="E24" s="6" t="s">
        <v>11</v>
      </c>
      <c r="F24" s="5">
        <f>B47</f>
        <v>0.5</v>
      </c>
      <c r="G24" s="15" t="s">
        <v>2</v>
      </c>
      <c r="H24" s="19"/>
      <c r="I24" s="6" t="s">
        <v>57</v>
      </c>
      <c r="J24" s="10" t="e">
        <f ca="1">Vol_Conical(J11,J13,J11,J19,J18,J18,J5)-Vol_Conical(J11,J12,J11,J20,J18,J23,J5)-Vol_Conical(J12,J13,J12,J21,J23,J18,J5)</f>
        <v>#NAME?</v>
      </c>
      <c r="K24" s="15" t="s">
        <v>36</v>
      </c>
      <c r="M24" s="6" t="s">
        <v>22</v>
      </c>
      <c r="N24" s="5">
        <f>2*N21</f>
        <v>3.2376156952021544</v>
      </c>
      <c r="O24" s="15" t="s">
        <v>2</v>
      </c>
      <c r="P24" s="15"/>
      <c r="T24" s="23"/>
    </row>
    <row r="25" spans="1:20" x14ac:dyDescent="0.25">
      <c r="A25" s="4" t="s">
        <v>77</v>
      </c>
      <c r="B25" s="18" t="e">
        <f ca="1">B26+B27+B28</f>
        <v>#NAME?</v>
      </c>
      <c r="C25" s="19" t="s">
        <v>36</v>
      </c>
      <c r="E25" s="6" t="s">
        <v>28</v>
      </c>
      <c r="F25" s="5" t="e">
        <f ca="1">ABS(ATAN(Ddx_Elliptical(F6,F11,F13,F14)))*180/PI()</f>
        <v>#NAME?</v>
      </c>
      <c r="G25" s="15" t="s">
        <v>27</v>
      </c>
      <c r="I25" s="4" t="s">
        <v>37</v>
      </c>
      <c r="J25" s="10"/>
      <c r="M25" s="6" t="s">
        <v>21</v>
      </c>
      <c r="N25" s="5">
        <f>IF(N24&gt;0,N24+B47,0)</f>
        <v>3.7376156952021544</v>
      </c>
      <c r="O25" s="15" t="s">
        <v>2</v>
      </c>
      <c r="P25" s="15"/>
      <c r="T25" s="23"/>
    </row>
    <row r="26" spans="1:20" x14ac:dyDescent="0.25">
      <c r="A26" s="6" t="s">
        <v>34</v>
      </c>
      <c r="B26" s="5" t="e">
        <f ca="1">F29</f>
        <v>#NAME?</v>
      </c>
      <c r="C26" s="15" t="s">
        <v>36</v>
      </c>
      <c r="E26" s="6" t="s">
        <v>29</v>
      </c>
      <c r="F26" s="5" t="e">
        <f ca="1">IF(B9*F1=F19,90,ABS(ATAN(Ddx_Elliptical(F6+F5*F19,F11,F13,F14)))*180/PI())</f>
        <v>#NAME?</v>
      </c>
      <c r="G26" s="15" t="s">
        <v>27</v>
      </c>
      <c r="I26" s="6" t="s">
        <v>35</v>
      </c>
      <c r="J26" s="24"/>
      <c r="K26" s="15" t="s">
        <v>2</v>
      </c>
      <c r="M26" s="6" t="s">
        <v>42</v>
      </c>
      <c r="N26" s="5" t="e">
        <f ca="1">0.5*(N9+N5*N14+N20+N5*N40+(N25*N25/4)/(N9+N5*N14-N20-N5*N40))</f>
        <v>#NAME?</v>
      </c>
      <c r="O26" s="15" t="s">
        <v>2</v>
      </c>
      <c r="P26" s="15"/>
      <c r="T26" s="23"/>
    </row>
    <row r="27" spans="1:20" x14ac:dyDescent="0.25">
      <c r="A27" s="6" t="s">
        <v>63</v>
      </c>
      <c r="B27" s="5" t="e">
        <f ca="1">J27</f>
        <v>#NAME?</v>
      </c>
      <c r="C27" s="15" t="s">
        <v>36</v>
      </c>
      <c r="E27" s="4" t="s">
        <v>37</v>
      </c>
      <c r="I27" s="6" t="s">
        <v>63</v>
      </c>
      <c r="J27" s="24" t="e">
        <f ca="1">PI()/4000*J18*J18*J15-J24</f>
        <v>#NAME?</v>
      </c>
      <c r="K27" s="15" t="s">
        <v>36</v>
      </c>
      <c r="M27" s="6" t="s">
        <v>43</v>
      </c>
      <c r="N27" s="5" t="e">
        <f ca="1">IF(N25&gt;0,ABS(N20+N5*B47-N26),0)</f>
        <v>#NAME?</v>
      </c>
      <c r="O27" s="15" t="s">
        <v>2</v>
      </c>
      <c r="P27" s="15"/>
      <c r="T27" s="23"/>
    </row>
    <row r="28" spans="1:20" x14ac:dyDescent="0.25">
      <c r="A28" s="6" t="s">
        <v>44</v>
      </c>
      <c r="B28" s="5" t="e">
        <f ca="1">N30</f>
        <v>#NAME?</v>
      </c>
      <c r="C28" s="15" t="s">
        <v>36</v>
      </c>
      <c r="E28" s="6" t="s">
        <v>35</v>
      </c>
      <c r="F28" s="24"/>
      <c r="G28" s="15" t="s">
        <v>2</v>
      </c>
      <c r="M28" s="4" t="s">
        <v>37</v>
      </c>
      <c r="P28" s="15"/>
      <c r="T28" s="23"/>
    </row>
    <row r="29" spans="1:20" x14ac:dyDescent="0.25">
      <c r="E29" s="6" t="s">
        <v>34</v>
      </c>
      <c r="F29" s="10" t="e">
        <f ca="1">Vol_Elliptical(F6,F15,F11,F12,F13,F14)+IF(F9="Sharp",Vol_Elliptical(F15,F16,F22,0,F24,F24),0)</f>
        <v>#NAME?</v>
      </c>
      <c r="G29" s="15" t="s">
        <v>36</v>
      </c>
      <c r="I29" s="17" t="s">
        <v>8</v>
      </c>
      <c r="M29" s="6" t="s">
        <v>35</v>
      </c>
      <c r="O29" s="15" t="s">
        <v>2</v>
      </c>
      <c r="P29" s="15"/>
      <c r="T29" s="23"/>
    </row>
    <row r="30" spans="1:20" x14ac:dyDescent="0.25">
      <c r="A30" s="17" t="s">
        <v>8</v>
      </c>
      <c r="I30" s="6" t="s">
        <v>419</v>
      </c>
      <c r="J30" s="5" t="e">
        <f ca="1">F37</f>
        <v>#NAME?</v>
      </c>
      <c r="K30" s="15" t="s">
        <v>2</v>
      </c>
      <c r="M30" s="6" t="s">
        <v>44</v>
      </c>
      <c r="N30" s="5" t="e">
        <f ca="1">IF(N15&gt;0,Vol_Conical(N9,N10,N9,N15,N17,N18,N5),0)+Vol_Elliptical(N10,N11,N20,N21,N22,N22)-IF(N13="Open",Vol_Elliptical(N35,N11,N26,0,N27,N27),0)</f>
        <v>#NAME?</v>
      </c>
      <c r="O30" s="15" t="s">
        <v>36</v>
      </c>
      <c r="P30" s="15"/>
      <c r="T30" s="23"/>
    </row>
    <row r="31" spans="1:20" x14ac:dyDescent="0.25">
      <c r="A31" s="4" t="s">
        <v>83</v>
      </c>
      <c r="B31" s="18" t="e">
        <f ca="1">B32+B33+B34</f>
        <v>#NAME?</v>
      </c>
      <c r="C31" s="19" t="s">
        <v>2</v>
      </c>
      <c r="E31" s="17" t="s">
        <v>8</v>
      </c>
      <c r="I31" s="6" t="s">
        <v>59</v>
      </c>
      <c r="J31" s="24">
        <f>J11-J5*B47*J22/J20</f>
        <v>-1.6400000000000001</v>
      </c>
      <c r="K31" s="15" t="s">
        <v>2</v>
      </c>
      <c r="P31" s="15"/>
      <c r="T31" s="23"/>
    </row>
    <row r="32" spans="1:20" x14ac:dyDescent="0.25">
      <c r="A32" s="6" t="s">
        <v>72</v>
      </c>
      <c r="B32" s="5" t="e">
        <f ca="1">F41</f>
        <v>#NAME?</v>
      </c>
      <c r="C32" s="15" t="s">
        <v>2</v>
      </c>
      <c r="E32" s="4" t="s">
        <v>7</v>
      </c>
      <c r="F32" s="22" t="e">
        <f ca="1">F9</f>
        <v>#NAME?</v>
      </c>
      <c r="G32" s="59" t="e">
        <f ca="1">G9</f>
        <v>#NAME?</v>
      </c>
      <c r="I32" s="6" t="s">
        <v>58</v>
      </c>
      <c r="J32" s="24">
        <f>J12</f>
        <v>-2.74</v>
      </c>
      <c r="K32" s="15" t="s">
        <v>2</v>
      </c>
      <c r="M32" s="17" t="s">
        <v>8</v>
      </c>
      <c r="P32" s="15"/>
      <c r="T32" s="23"/>
    </row>
    <row r="33" spans="1:20" x14ac:dyDescent="0.25">
      <c r="A33" s="6" t="s">
        <v>73</v>
      </c>
      <c r="B33" s="5" t="e">
        <f ca="1">J35</f>
        <v>#NAME?</v>
      </c>
      <c r="C33" s="15" t="s">
        <v>2</v>
      </c>
      <c r="E33" s="6" t="s">
        <v>23</v>
      </c>
      <c r="F33" s="5" t="e">
        <f ca="1">F11</f>
        <v>#NAME?</v>
      </c>
      <c r="G33" s="15" t="s">
        <v>2</v>
      </c>
      <c r="I33" s="6" t="s">
        <v>60</v>
      </c>
      <c r="J33" s="24">
        <f>J13+J5*B47*J22/J21</f>
        <v>-4.1169230769230767</v>
      </c>
      <c r="K33" s="23" t="s">
        <v>2</v>
      </c>
      <c r="M33" s="6" t="s">
        <v>426</v>
      </c>
      <c r="N33" s="5">
        <f>N9-N5*B47*SIN(N12*PI()/180)</f>
        <v>-8.7747369038899734</v>
      </c>
      <c r="O33" s="15" t="s">
        <v>2</v>
      </c>
      <c r="P33" s="15"/>
      <c r="T33" s="23"/>
    </row>
    <row r="34" spans="1:20" x14ac:dyDescent="0.25">
      <c r="A34" s="6" t="s">
        <v>17</v>
      </c>
      <c r="C34" s="15" t="s">
        <v>2</v>
      </c>
      <c r="E34" s="6" t="s">
        <v>24</v>
      </c>
      <c r="F34" s="5" t="e">
        <f ca="1">F12</f>
        <v>#NAME?</v>
      </c>
      <c r="G34" s="15" t="s">
        <v>2</v>
      </c>
      <c r="I34" s="6" t="s">
        <v>416</v>
      </c>
      <c r="J34" s="5">
        <f>N33</f>
        <v>-8.7747369038899734</v>
      </c>
      <c r="K34" s="15" t="s">
        <v>2</v>
      </c>
      <c r="M34" s="6" t="s">
        <v>427</v>
      </c>
      <c r="N34" s="5">
        <f>N10-N5*B47*SIN(N12*PI()/180)</f>
        <v>-12.494736903889972</v>
      </c>
      <c r="O34" s="15" t="s">
        <v>2</v>
      </c>
      <c r="P34" s="15"/>
      <c r="T34" s="23"/>
    </row>
    <row r="35" spans="1:20" x14ac:dyDescent="0.25">
      <c r="A35" s="4" t="s">
        <v>89</v>
      </c>
      <c r="B35" s="18"/>
      <c r="C35" s="19" t="s">
        <v>2</v>
      </c>
      <c r="E35" s="6" t="s">
        <v>25</v>
      </c>
      <c r="F35" s="5" t="e">
        <f ca="1">F13-B47</f>
        <v>#NAME?</v>
      </c>
      <c r="G35" s="15" t="s">
        <v>2</v>
      </c>
      <c r="I35" s="6" t="s">
        <v>85</v>
      </c>
      <c r="J35" s="5" t="e">
        <f ca="1">ABS(J34-J30)</f>
        <v>#NAME?</v>
      </c>
      <c r="K35" s="15" t="s">
        <v>2</v>
      </c>
      <c r="M35" s="6" t="s">
        <v>411</v>
      </c>
      <c r="N35" s="5">
        <f>N34+N5*N39</f>
        <v>-12.929473807779946</v>
      </c>
      <c r="O35" s="15" t="s">
        <v>2</v>
      </c>
      <c r="P35" s="15"/>
      <c r="T35" s="23"/>
    </row>
    <row r="36" spans="1:20" x14ac:dyDescent="0.25">
      <c r="A36" s="6" t="s">
        <v>79</v>
      </c>
      <c r="C36" s="15" t="s">
        <v>2</v>
      </c>
      <c r="E36" s="6" t="s">
        <v>26</v>
      </c>
      <c r="F36" s="5" t="e">
        <f ca="1">F14-B47</f>
        <v>#NAME?</v>
      </c>
      <c r="G36" s="15" t="s">
        <v>2</v>
      </c>
      <c r="I36" s="6" t="s">
        <v>53</v>
      </c>
      <c r="J36" s="5">
        <f>J5*(J31-J6)</f>
        <v>1.6400000000000001</v>
      </c>
      <c r="K36" s="15" t="s">
        <v>2</v>
      </c>
      <c r="M36" s="4" t="s">
        <v>16</v>
      </c>
      <c r="N36" s="18" t="str">
        <f>N13</f>
        <v>Open</v>
      </c>
      <c r="P36" s="15"/>
      <c r="T36" s="23"/>
    </row>
    <row r="37" spans="1:20" x14ac:dyDescent="0.25">
      <c r="A37" s="6" t="s">
        <v>80</v>
      </c>
      <c r="C37" s="15" t="s">
        <v>2</v>
      </c>
      <c r="E37" s="6" t="s">
        <v>412</v>
      </c>
      <c r="F37" s="5" t="e">
        <f ca="1">IF(G32="Secant",Inv_Elliptical(F43/2,F33,F34,F35,F36,F5),F6)</f>
        <v>#NAME?</v>
      </c>
      <c r="G37" s="15" t="s">
        <v>2</v>
      </c>
      <c r="I37" s="6" t="s">
        <v>55</v>
      </c>
      <c r="J37" s="5" t="e">
        <f ca="1">J35-J36-J39</f>
        <v>#NAME?</v>
      </c>
      <c r="K37" s="23" t="s">
        <v>2</v>
      </c>
      <c r="M37" s="6" t="s">
        <v>17</v>
      </c>
      <c r="N37" s="5">
        <f>N38+N39</f>
        <v>4.1547369038899733</v>
      </c>
      <c r="O37" s="15" t="s">
        <v>2</v>
      </c>
      <c r="P37" s="15"/>
      <c r="T37" s="23"/>
    </row>
    <row r="38" spans="1:20" x14ac:dyDescent="0.25">
      <c r="A38" s="6" t="s">
        <v>81</v>
      </c>
      <c r="C38" s="15" t="s">
        <v>2</v>
      </c>
      <c r="E38" s="6" t="s">
        <v>414</v>
      </c>
      <c r="F38" s="5" t="e">
        <f ca="1">F37+F5*F42</f>
        <v>#NAME?</v>
      </c>
      <c r="G38" s="15" t="s">
        <v>2</v>
      </c>
      <c r="I38" s="6" t="s">
        <v>526</v>
      </c>
      <c r="J38" s="5">
        <f>F43</f>
        <v>5.2</v>
      </c>
      <c r="K38" s="15" t="s">
        <v>2</v>
      </c>
      <c r="M38" s="6" t="s">
        <v>428</v>
      </c>
      <c r="N38" s="5">
        <f>ABS(N34-N33)</f>
        <v>3.7199999999999989</v>
      </c>
      <c r="O38" s="15" t="s">
        <v>2</v>
      </c>
      <c r="P38" s="15"/>
      <c r="T38" s="23"/>
    </row>
    <row r="39" spans="1:20" x14ac:dyDescent="0.25">
      <c r="A39" s="4" t="s">
        <v>84</v>
      </c>
      <c r="B39" s="18" t="e">
        <f ca="1">B40+B41+B42</f>
        <v>#NAME?</v>
      </c>
      <c r="C39" s="19" t="s">
        <v>36</v>
      </c>
      <c r="E39" s="6" t="s">
        <v>415</v>
      </c>
      <c r="F39" s="5" t="e">
        <f ca="1">F37+F5*F41</f>
        <v>#NAME?</v>
      </c>
      <c r="G39" s="15" t="s">
        <v>2</v>
      </c>
      <c r="I39" s="6" t="s">
        <v>51</v>
      </c>
      <c r="J39" s="5">
        <f>J40+J41</f>
        <v>2.4769230769230766</v>
      </c>
      <c r="K39" s="15" t="s">
        <v>2</v>
      </c>
      <c r="M39" s="6" t="s">
        <v>20</v>
      </c>
      <c r="N39" s="5">
        <f>N40*(1-SIN(N12*PI()/180))</f>
        <v>0.43473690388997421</v>
      </c>
      <c r="O39" s="15" t="s">
        <v>2</v>
      </c>
      <c r="P39" s="15"/>
      <c r="T39" s="23"/>
    </row>
    <row r="40" spans="1:20" x14ac:dyDescent="0.25">
      <c r="A40" s="6" t="s">
        <v>34</v>
      </c>
      <c r="B40" s="5" t="e">
        <f ca="1">F50</f>
        <v>#NAME?</v>
      </c>
      <c r="C40" s="15" t="s">
        <v>36</v>
      </c>
      <c r="E40" s="4" t="s">
        <v>14</v>
      </c>
      <c r="F40" s="18" t="e">
        <f ca="1">F17</f>
        <v>#NAME?</v>
      </c>
      <c r="I40" s="6" t="s">
        <v>61</v>
      </c>
      <c r="J40" s="5">
        <f>J5*(J32-J31)</f>
        <v>1.1000000000000001</v>
      </c>
      <c r="K40" s="15" t="s">
        <v>2</v>
      </c>
      <c r="M40" s="6" t="s">
        <v>67</v>
      </c>
      <c r="N40" s="5">
        <f>N22/2</f>
        <v>0.5</v>
      </c>
      <c r="O40" s="15" t="s">
        <v>2</v>
      </c>
      <c r="P40" s="15"/>
      <c r="T40" s="23"/>
    </row>
    <row r="41" spans="1:20" x14ac:dyDescent="0.25">
      <c r="A41" s="6" t="s">
        <v>63</v>
      </c>
      <c r="B41" s="5" t="e">
        <f ca="1">J48</f>
        <v>#NAME?</v>
      </c>
      <c r="C41" s="15" t="s">
        <v>36</v>
      </c>
      <c r="E41" s="6" t="s">
        <v>54</v>
      </c>
      <c r="F41" s="5" t="e">
        <f ca="1">F5*F45+F47-F6</f>
        <v>#NAME?</v>
      </c>
      <c r="G41" s="15" t="s">
        <v>2</v>
      </c>
      <c r="I41" s="6" t="s">
        <v>52</v>
      </c>
      <c r="J41" s="5">
        <f>J5*(J33-J32)</f>
        <v>1.3769230769230765</v>
      </c>
      <c r="K41" s="15" t="s">
        <v>2</v>
      </c>
      <c r="M41" s="6" t="s">
        <v>19</v>
      </c>
      <c r="N41" s="5">
        <f>N17-2*B47</f>
        <v>5.2</v>
      </c>
      <c r="O41" s="15" t="s">
        <v>2</v>
      </c>
      <c r="P41" s="15"/>
      <c r="T41" s="23"/>
    </row>
    <row r="42" spans="1:20" x14ac:dyDescent="0.25">
      <c r="A42" s="6" t="s">
        <v>44</v>
      </c>
      <c r="B42" s="5" t="e">
        <f ca="1">N46</f>
        <v>#NAME?</v>
      </c>
      <c r="C42" s="15" t="s">
        <v>36</v>
      </c>
      <c r="E42" s="6" t="s">
        <v>45</v>
      </c>
      <c r="F42" s="5" t="e">
        <f ca="1">F5*(Fillet_Contact_PosX(F33,F34,F24,F35,F36,F5)-F37)</f>
        <v>#NAME?</v>
      </c>
      <c r="G42" s="15" t="s">
        <v>2</v>
      </c>
      <c r="I42" s="6" t="s">
        <v>50</v>
      </c>
      <c r="J42" s="10" t="e">
        <f ca="1">(J38-J43)/2</f>
        <v>#NAME?</v>
      </c>
      <c r="K42" s="15" t="s">
        <v>2</v>
      </c>
      <c r="M42" s="6" t="s">
        <v>422</v>
      </c>
      <c r="N42" s="5">
        <f>N41-2*N38*TAN(N12*PI()/180)</f>
        <v>4.2205054179497754</v>
      </c>
      <c r="O42" s="15" t="s">
        <v>2</v>
      </c>
      <c r="P42" s="15"/>
      <c r="T42" s="23"/>
    </row>
    <row r="43" spans="1:20" x14ac:dyDescent="0.25">
      <c r="A43" s="6" t="s">
        <v>75</v>
      </c>
      <c r="B43" s="5">
        <v>11.349</v>
      </c>
      <c r="C43" s="15" t="s">
        <v>74</v>
      </c>
      <c r="E43" s="6" t="s">
        <v>18</v>
      </c>
      <c r="F43" s="5">
        <f>B9-2*B47</f>
        <v>5.2</v>
      </c>
      <c r="G43" s="15" t="s">
        <v>2</v>
      </c>
      <c r="I43" s="6" t="s">
        <v>56</v>
      </c>
      <c r="J43" s="10" t="e">
        <f ca="1">Cannelure_Diameter(J38,J39,J45)</f>
        <v>#NAME?</v>
      </c>
      <c r="K43" s="15" t="s">
        <v>2</v>
      </c>
      <c r="M43" s="6" t="s">
        <v>423</v>
      </c>
      <c r="N43" s="5">
        <f>N24</f>
        <v>3.2376156952021544</v>
      </c>
      <c r="O43" s="15" t="s">
        <v>2</v>
      </c>
      <c r="P43" s="15"/>
    </row>
    <row r="44" spans="1:20" x14ac:dyDescent="0.25">
      <c r="A44" s="4" t="s">
        <v>86</v>
      </c>
      <c r="B44" s="18" t="e">
        <f ca="1">B43*B39</f>
        <v>#NAME?</v>
      </c>
      <c r="C44" s="19" t="s">
        <v>87</v>
      </c>
      <c r="E44" s="6" t="s">
        <v>10</v>
      </c>
      <c r="F44" s="5" t="e">
        <f ca="1">2*Elliptical(F37+F5*F42,F33,F34,F35,F36)</f>
        <v>#NAME?</v>
      </c>
      <c r="G44" s="15" t="s">
        <v>2</v>
      </c>
      <c r="I44" s="6" t="s">
        <v>62</v>
      </c>
      <c r="J44" s="10" t="e">
        <f ca="1">(J23-J43)/2</f>
        <v>#NAME?</v>
      </c>
      <c r="K44" s="15" t="s">
        <v>2</v>
      </c>
      <c r="M44" s="4" t="s">
        <v>37</v>
      </c>
      <c r="P44" s="15"/>
    </row>
    <row r="45" spans="1:20" x14ac:dyDescent="0.25">
      <c r="E45" s="6" t="s">
        <v>13</v>
      </c>
      <c r="F45" s="20" t="e">
        <f ca="1">F5*(F37+IF(F37+Inv_Elliptical(0,F33,F34,F35,F36,F5)=F42,F42-F47,F42-SQRT(ABS((F47*F47-F44*F44/4)))))</f>
        <v>#NAME?</v>
      </c>
      <c r="G45" s="15" t="s">
        <v>2</v>
      </c>
      <c r="I45" s="6" t="s">
        <v>57</v>
      </c>
      <c r="J45" s="10" t="e">
        <f ca="1">J24</f>
        <v>#NAME?</v>
      </c>
      <c r="K45" s="15" t="s">
        <v>36</v>
      </c>
      <c r="M45" s="6" t="s">
        <v>35</v>
      </c>
      <c r="O45" s="15" t="s">
        <v>2</v>
      </c>
      <c r="P45" s="15"/>
    </row>
    <row r="46" spans="1:20" x14ac:dyDescent="0.25">
      <c r="A46" s="17" t="s">
        <v>38</v>
      </c>
      <c r="E46" s="6" t="s">
        <v>12</v>
      </c>
      <c r="F46" s="5" t="e">
        <f ca="1">F5*F45+F47-F42-F37</f>
        <v>#NAME?</v>
      </c>
      <c r="G46" s="15" t="s">
        <v>2</v>
      </c>
      <c r="I46" s="4" t="s">
        <v>37</v>
      </c>
      <c r="M46" s="6" t="s">
        <v>44</v>
      </c>
      <c r="N46" s="5" t="e">
        <f ca="1">IF(N15&gt;0,Vol_Conical(N33,N34,N33,N38,N41,N42,N5),0)+Vol_Elliptical(N34,N35,N20,N21,N40,N40)+IF(N13="Open",Vol_Conical(N35,N11,N35,N23,N24,N25,N5)-Vol_Elliptical(N35,N11,N26,0,N27,N27),0)</f>
        <v>#NAME?</v>
      </c>
      <c r="O46" s="15" t="s">
        <v>36</v>
      </c>
      <c r="P46" s="15"/>
    </row>
    <row r="47" spans="1:20" x14ac:dyDescent="0.25">
      <c r="A47" s="28" t="s">
        <v>6</v>
      </c>
      <c r="B47" s="10">
        <f>ROUND(B9*(0.05+F1*0.01),1)</f>
        <v>0.5</v>
      </c>
      <c r="C47" s="30" t="s">
        <v>2</v>
      </c>
      <c r="E47" s="6" t="s">
        <v>11</v>
      </c>
      <c r="F47" s="5">
        <f>F24</f>
        <v>0.5</v>
      </c>
      <c r="G47" s="15" t="s">
        <v>2</v>
      </c>
      <c r="I47" s="6" t="s">
        <v>35</v>
      </c>
      <c r="J47" s="24"/>
      <c r="K47" s="15" t="s">
        <v>2</v>
      </c>
      <c r="P47" s="15"/>
    </row>
    <row r="48" spans="1:20" x14ac:dyDescent="0.25">
      <c r="A48" s="4" t="s">
        <v>88</v>
      </c>
      <c r="B48" s="18"/>
      <c r="C48" s="19" t="s">
        <v>2</v>
      </c>
      <c r="E48" s="4" t="s">
        <v>37</v>
      </c>
      <c r="I48" s="6" t="s">
        <v>63</v>
      </c>
      <c r="J48" s="24" t="e">
        <f ca="1">PI()/4000*J38*J38*J35-J24</f>
        <v>#NAME?</v>
      </c>
      <c r="K48" s="15" t="s">
        <v>36</v>
      </c>
      <c r="M48" s="17" t="s">
        <v>38</v>
      </c>
      <c r="P48" s="15"/>
    </row>
    <row r="49" spans="1:16" x14ac:dyDescent="0.25">
      <c r="A49" s="6" t="s">
        <v>79</v>
      </c>
      <c r="C49" s="15" t="s">
        <v>2</v>
      </c>
      <c r="E49" s="6" t="s">
        <v>35</v>
      </c>
      <c r="F49" s="24"/>
      <c r="G49" s="15" t="s">
        <v>2</v>
      </c>
      <c r="M49" s="6" t="s">
        <v>35</v>
      </c>
      <c r="O49" s="15" t="s">
        <v>2</v>
      </c>
      <c r="P49" s="15"/>
    </row>
    <row r="50" spans="1:16" x14ac:dyDescent="0.25">
      <c r="A50" s="6" t="s">
        <v>80</v>
      </c>
      <c r="C50" s="15" t="s">
        <v>2</v>
      </c>
      <c r="E50" s="6" t="s">
        <v>34</v>
      </c>
      <c r="F50" s="10" t="e">
        <f ca="1">Vol_Elliptical(F37,F38,F33,F34,F35,F36)+IF(F32="Sharp",Vol_Elliptical(F38,F39,F45,0,F47,F47),0)</f>
        <v>#NAME?</v>
      </c>
      <c r="G50" s="15" t="s">
        <v>36</v>
      </c>
      <c r="I50" s="17" t="s">
        <v>38</v>
      </c>
      <c r="M50" s="6" t="s">
        <v>46</v>
      </c>
      <c r="N50" s="5" t="e">
        <f ca="1">N30-N46</f>
        <v>#NAME?</v>
      </c>
      <c r="O50" s="15" t="s">
        <v>36</v>
      </c>
      <c r="P50" s="15"/>
    </row>
    <row r="51" spans="1:16" x14ac:dyDescent="0.25">
      <c r="A51" s="6" t="s">
        <v>81</v>
      </c>
      <c r="C51" s="15" t="s">
        <v>2</v>
      </c>
      <c r="F51" s="25"/>
      <c r="I51" s="6" t="s">
        <v>35</v>
      </c>
      <c r="J51" s="5" t="e">
        <f ca="1">(J26*J27-J47*J48)/J52</f>
        <v>#NAME?</v>
      </c>
      <c r="K51" s="15" t="s">
        <v>2</v>
      </c>
    </row>
    <row r="52" spans="1:16" x14ac:dyDescent="0.25">
      <c r="A52" s="4" t="s">
        <v>46</v>
      </c>
      <c r="B52" s="18" t="e">
        <f ca="1">B53+B54+B55</f>
        <v>#NAME?</v>
      </c>
      <c r="C52" s="19" t="s">
        <v>36</v>
      </c>
      <c r="E52" s="17" t="s">
        <v>38</v>
      </c>
      <c r="I52" s="6" t="s">
        <v>46</v>
      </c>
      <c r="J52" s="20" t="e">
        <f ca="1">J27-J48</f>
        <v>#NAME?</v>
      </c>
      <c r="K52" s="15" t="s">
        <v>36</v>
      </c>
    </row>
    <row r="53" spans="1:16" x14ac:dyDescent="0.25">
      <c r="A53" s="6" t="s">
        <v>34</v>
      </c>
      <c r="B53" s="5" t="e">
        <f ca="1">F54</f>
        <v>#NAME?</v>
      </c>
      <c r="C53" s="15" t="s">
        <v>36</v>
      </c>
      <c r="E53" s="6" t="s">
        <v>35</v>
      </c>
      <c r="F53" s="10"/>
      <c r="G53" s="15" t="s">
        <v>2</v>
      </c>
      <c r="O53" s="121"/>
    </row>
    <row r="54" spans="1:16" x14ac:dyDescent="0.25">
      <c r="A54" s="6" t="s">
        <v>63</v>
      </c>
      <c r="B54" s="5" t="e">
        <f ca="1">J52</f>
        <v>#NAME?</v>
      </c>
      <c r="C54" s="15" t="s">
        <v>36</v>
      </c>
      <c r="E54" s="6" t="s">
        <v>46</v>
      </c>
      <c r="F54" s="10" t="e">
        <f ca="1">F29-F50</f>
        <v>#NAME?</v>
      </c>
      <c r="G54" s="15" t="s">
        <v>36</v>
      </c>
      <c r="O54" s="121"/>
    </row>
    <row r="55" spans="1:16" x14ac:dyDescent="0.25">
      <c r="A55" s="6" t="s">
        <v>44</v>
      </c>
      <c r="B55" s="5" t="e">
        <f ca="1">N50</f>
        <v>#NAME?</v>
      </c>
      <c r="C55" s="15" t="s">
        <v>36</v>
      </c>
      <c r="O55" s="121"/>
    </row>
    <row r="56" spans="1:16" x14ac:dyDescent="0.25">
      <c r="A56" s="6" t="s">
        <v>76</v>
      </c>
      <c r="B56" s="5">
        <v>8.8580000000000005</v>
      </c>
      <c r="C56" s="15" t="s">
        <v>74</v>
      </c>
    </row>
    <row r="57" spans="1:16" x14ac:dyDescent="0.25">
      <c r="A57" s="4" t="s">
        <v>286</v>
      </c>
      <c r="B57" s="18" t="e">
        <f ca="1">B56*B52</f>
        <v>#NAME?</v>
      </c>
      <c r="C57" s="19" t="s">
        <v>87</v>
      </c>
    </row>
  </sheetData>
  <phoneticPr fontId="8" type="noConversion"/>
  <dataValidations disablePrompts="1" count="1">
    <dataValidation type="list" allowBlank="1" showInputMessage="1" showErrorMessage="1" sqref="B5">
      <formula1>$U$1:$U$2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X90"/>
  <sheetViews>
    <sheetView workbookViewId="0">
      <pane ySplit="2" topLeftCell="A3" activePane="bottomLeft" state="frozen"/>
      <selection pane="bottomLeft"/>
    </sheetView>
  </sheetViews>
  <sheetFormatPr defaultRowHeight="12.75" x14ac:dyDescent="0.2"/>
  <cols>
    <col min="1" max="1" width="22.7109375" style="2" customWidth="1"/>
    <col min="2" max="2" width="8.7109375" style="1" customWidth="1"/>
    <col min="3" max="3" width="5.7109375" style="39" customWidth="1"/>
    <col min="4" max="4" width="5.7109375" style="2" customWidth="1"/>
    <col min="5" max="5" width="22.7109375" style="2" customWidth="1"/>
    <col min="6" max="6" width="8.7109375" style="1" customWidth="1"/>
    <col min="7" max="7" width="5.7109375" style="39" customWidth="1"/>
    <col min="8" max="8" width="5.7109375" style="2" customWidth="1"/>
    <col min="9" max="9" width="22.7109375" style="2" customWidth="1"/>
    <col min="10" max="10" width="8.7109375" style="1" customWidth="1"/>
    <col min="11" max="11" width="5.7109375" style="39" customWidth="1"/>
    <col min="12" max="12" width="5.7109375" style="2" customWidth="1"/>
    <col min="13" max="13" width="22.7109375" style="2" customWidth="1"/>
    <col min="14" max="14" width="8.7109375" style="1" customWidth="1"/>
    <col min="15" max="15" width="5.7109375" style="39" customWidth="1"/>
    <col min="16" max="16" width="5.7109375" style="2" customWidth="1"/>
    <col min="17" max="17" width="22.7109375" style="2" customWidth="1"/>
    <col min="18" max="18" width="8.7109375" style="102" customWidth="1"/>
    <col min="19" max="19" width="5.7109375" style="39" customWidth="1"/>
    <col min="20" max="20" width="5.7109375" style="2" customWidth="1"/>
    <col min="21" max="21" width="22.7109375" style="3" customWidth="1"/>
    <col min="22" max="22" width="8.7109375" style="3" customWidth="1"/>
    <col min="23" max="24" width="5.7109375" style="3" customWidth="1"/>
    <col min="25" max="16384" width="9.140625" style="3"/>
  </cols>
  <sheetData>
    <row r="1" spans="1:24" x14ac:dyDescent="0.2">
      <c r="A1" s="61" t="s">
        <v>287</v>
      </c>
      <c r="B1" s="62">
        <v>7.8330000000000002</v>
      </c>
      <c r="C1" s="63" t="s">
        <v>74</v>
      </c>
      <c r="E1" s="2" t="s">
        <v>474</v>
      </c>
      <c r="F1" s="62">
        <v>2.7</v>
      </c>
      <c r="G1" s="63" t="s">
        <v>74</v>
      </c>
    </row>
    <row r="2" spans="1:24" x14ac:dyDescent="0.2">
      <c r="A2" s="61" t="s">
        <v>289</v>
      </c>
      <c r="B2" s="62">
        <v>15.8</v>
      </c>
      <c r="C2" s="63" t="s">
        <v>74</v>
      </c>
      <c r="E2" s="2" t="s">
        <v>305</v>
      </c>
      <c r="F2" s="62">
        <v>0.96</v>
      </c>
      <c r="G2" s="39" t="s">
        <v>74</v>
      </c>
    </row>
    <row r="4" spans="1:24" x14ac:dyDescent="0.2">
      <c r="A4" s="38" t="s">
        <v>272</v>
      </c>
      <c r="B4" s="60" t="s">
        <v>273</v>
      </c>
      <c r="C4" s="81" t="s">
        <v>306</v>
      </c>
      <c r="E4" s="2" t="s">
        <v>812</v>
      </c>
      <c r="F4" s="41" t="s">
        <v>813</v>
      </c>
      <c r="G4" s="176" t="s">
        <v>816</v>
      </c>
      <c r="I4" s="38" t="s">
        <v>304</v>
      </c>
      <c r="J4" s="60" t="s">
        <v>291</v>
      </c>
      <c r="K4" s="107" t="s">
        <v>449</v>
      </c>
      <c r="M4" s="38" t="s">
        <v>312</v>
      </c>
      <c r="N4" s="41" t="s">
        <v>313</v>
      </c>
      <c r="O4" s="82" t="s">
        <v>314</v>
      </c>
      <c r="Q4" s="32" t="s">
        <v>450</v>
      </c>
      <c r="R4" s="41" t="s">
        <v>452</v>
      </c>
      <c r="S4" s="108" t="s">
        <v>451</v>
      </c>
      <c r="U4" s="38" t="s">
        <v>324</v>
      </c>
      <c r="V4" s="41" t="s">
        <v>325</v>
      </c>
      <c r="W4" s="109" t="s">
        <v>326</v>
      </c>
      <c r="X4" s="2"/>
    </row>
    <row r="5" spans="1:24" x14ac:dyDescent="0.2">
      <c r="F5" s="102"/>
      <c r="R5" s="1"/>
      <c r="U5" s="2"/>
      <c r="V5" s="1"/>
      <c r="W5" s="39"/>
      <c r="X5" s="2"/>
    </row>
    <row r="6" spans="1:24" x14ac:dyDescent="0.2">
      <c r="A6" s="17" t="s">
        <v>82</v>
      </c>
      <c r="B6" s="5"/>
      <c r="C6" s="15"/>
      <c r="E6" s="38" t="s">
        <v>82</v>
      </c>
      <c r="F6" s="102"/>
      <c r="I6" s="17" t="s">
        <v>82</v>
      </c>
      <c r="J6" s="5"/>
      <c r="K6" s="15"/>
      <c r="M6" s="17" t="s">
        <v>82</v>
      </c>
      <c r="N6" s="5"/>
      <c r="O6" s="15"/>
      <c r="Q6" s="38" t="s">
        <v>82</v>
      </c>
      <c r="R6" s="1"/>
      <c r="U6" s="38" t="s">
        <v>82</v>
      </c>
      <c r="V6" s="1"/>
      <c r="W6" s="39"/>
      <c r="X6" s="2"/>
    </row>
    <row r="7" spans="1:24" x14ac:dyDescent="0.2">
      <c r="A7" s="6" t="s">
        <v>91</v>
      </c>
      <c r="B7" s="5"/>
      <c r="C7" s="15" t="s">
        <v>2</v>
      </c>
      <c r="E7" s="6" t="s">
        <v>35</v>
      </c>
      <c r="F7" s="102"/>
      <c r="G7" s="39" t="s">
        <v>2</v>
      </c>
      <c r="I7" s="6" t="s">
        <v>91</v>
      </c>
      <c r="J7" s="5"/>
      <c r="K7" s="15" t="s">
        <v>2</v>
      </c>
      <c r="M7" s="6" t="s">
        <v>91</v>
      </c>
      <c r="N7" s="5"/>
      <c r="O7" s="15" t="s">
        <v>2</v>
      </c>
      <c r="Q7" s="6" t="s">
        <v>35</v>
      </c>
      <c r="R7" s="1"/>
      <c r="S7" s="39" t="s">
        <v>2</v>
      </c>
      <c r="U7" s="6" t="s">
        <v>35</v>
      </c>
      <c r="V7" s="1"/>
      <c r="W7" s="39" t="s">
        <v>2</v>
      </c>
      <c r="X7" s="2"/>
    </row>
    <row r="8" spans="1:24" x14ac:dyDescent="0.2">
      <c r="A8" s="6" t="s">
        <v>94</v>
      </c>
      <c r="B8" s="5" t="e">
        <f ca="1">B10/Projectile!B25</f>
        <v>#NAME?</v>
      </c>
      <c r="C8" s="15" t="s">
        <v>74</v>
      </c>
      <c r="E8" s="2" t="s">
        <v>77</v>
      </c>
      <c r="F8" s="1" t="e">
        <f ca="1">F36+F35+F34</f>
        <v>#NAME?</v>
      </c>
      <c r="G8" s="39" t="s">
        <v>36</v>
      </c>
      <c r="I8" s="6" t="s">
        <v>94</v>
      </c>
      <c r="J8" s="5" t="e">
        <f ca="1">J10/Projectile!B25</f>
        <v>#NAME?</v>
      </c>
      <c r="K8" s="15" t="s">
        <v>74</v>
      </c>
      <c r="M8" s="6" t="s">
        <v>94</v>
      </c>
      <c r="N8" s="5" t="e">
        <f ca="1">N10/Projectile!B25</f>
        <v>#NAME?</v>
      </c>
      <c r="O8" s="15" t="s">
        <v>74</v>
      </c>
      <c r="Q8" s="2" t="s">
        <v>77</v>
      </c>
      <c r="R8" s="1" t="e">
        <f ca="1">R36+R35+R34</f>
        <v>#NAME?</v>
      </c>
      <c r="S8" s="39" t="s">
        <v>36</v>
      </c>
      <c r="U8" s="2" t="s">
        <v>77</v>
      </c>
      <c r="V8" s="1" t="e">
        <f ca="1">V30+V31+V32</f>
        <v>#NAME?</v>
      </c>
      <c r="W8" s="39" t="s">
        <v>36</v>
      </c>
      <c r="X8" s="2"/>
    </row>
    <row r="9" spans="1:24" x14ac:dyDescent="0.2">
      <c r="A9" s="6" t="s">
        <v>231</v>
      </c>
      <c r="B9" s="5" t="e">
        <f ca="1">400*B10/(PI()*POWER(Projectile!B9,2))</f>
        <v>#NAME?</v>
      </c>
      <c r="C9" s="15" t="s">
        <v>232</v>
      </c>
      <c r="E9" s="2" t="s">
        <v>94</v>
      </c>
      <c r="F9" s="1" t="e">
        <f ca="1">F11/F8</f>
        <v>#NAME?</v>
      </c>
      <c r="G9" s="15" t="s">
        <v>74</v>
      </c>
      <c r="I9" s="6" t="s">
        <v>231</v>
      </c>
      <c r="J9" s="5" t="e">
        <f ca="1">400*J10/(PI()*POWER(Projectile!B9,2))</f>
        <v>#NAME?</v>
      </c>
      <c r="K9" s="15" t="s">
        <v>232</v>
      </c>
      <c r="M9" s="6" t="s">
        <v>231</v>
      </c>
      <c r="N9" s="5" t="e">
        <f ca="1">400*N10/(PI()*POWER(Projectile!B9,2))</f>
        <v>#NAME?</v>
      </c>
      <c r="O9" s="15" t="s">
        <v>232</v>
      </c>
      <c r="Q9" s="2" t="s">
        <v>94</v>
      </c>
      <c r="R9" s="1" t="e">
        <f ca="1">R11/R8</f>
        <v>#NAME?</v>
      </c>
      <c r="S9" s="15" t="s">
        <v>74</v>
      </c>
      <c r="U9" s="2" t="s">
        <v>94</v>
      </c>
      <c r="V9" s="1" t="e">
        <f ca="1">V11/V8</f>
        <v>#NAME?</v>
      </c>
      <c r="W9" s="15" t="s">
        <v>74</v>
      </c>
      <c r="X9" s="2"/>
    </row>
    <row r="10" spans="1:24" x14ac:dyDescent="0.2">
      <c r="A10" s="4" t="s">
        <v>90</v>
      </c>
      <c r="B10" s="18" t="e">
        <f ca="1">B31+B37+B43</f>
        <v>#NAME?</v>
      </c>
      <c r="C10" s="19" t="s">
        <v>87</v>
      </c>
      <c r="E10" s="2" t="s">
        <v>231</v>
      </c>
      <c r="F10" s="1" t="e">
        <f ca="1">400*F11/(PI()*POWER(Projectile!B9,2))</f>
        <v>#NAME?</v>
      </c>
      <c r="G10" s="15" t="s">
        <v>232</v>
      </c>
      <c r="I10" s="4" t="s">
        <v>90</v>
      </c>
      <c r="J10" s="18" t="e">
        <f ca="1">J36+J47+J53</f>
        <v>#NAME?</v>
      </c>
      <c r="K10" s="19" t="s">
        <v>87</v>
      </c>
      <c r="M10" s="4" t="s">
        <v>90</v>
      </c>
      <c r="N10" s="18" t="e">
        <f ca="1">N31+N50+N56+N62</f>
        <v>#NAME?</v>
      </c>
      <c r="O10" s="19" t="s">
        <v>87</v>
      </c>
      <c r="Q10" s="2" t="s">
        <v>231</v>
      </c>
      <c r="R10" s="1" t="e">
        <f ca="1">400*R11/(PI()*POWER(Projectile!B9,2))</f>
        <v>#NAME?</v>
      </c>
      <c r="S10" s="15" t="s">
        <v>232</v>
      </c>
      <c r="U10" s="2" t="s">
        <v>231</v>
      </c>
      <c r="V10" s="1" t="e">
        <f ca="1">400*V11/(PI()*POWER(Projectile!B9,2))</f>
        <v>#NAME?</v>
      </c>
      <c r="W10" s="15" t="s">
        <v>232</v>
      </c>
      <c r="X10" s="2"/>
    </row>
    <row r="11" spans="1:24" x14ac:dyDescent="0.2">
      <c r="B11" s="64" t="e">
        <f ca="1">B10/0.06479891</f>
        <v>#NAME?</v>
      </c>
      <c r="C11" s="39" t="s">
        <v>93</v>
      </c>
      <c r="E11" s="32" t="s">
        <v>90</v>
      </c>
      <c r="F11" s="102" t="e">
        <f ca="1">F59+F76+F88</f>
        <v>#NAME?</v>
      </c>
      <c r="G11" s="19" t="s">
        <v>87</v>
      </c>
      <c r="J11" s="64" t="e">
        <f ca="1">J10/0.06479891</f>
        <v>#NAME?</v>
      </c>
      <c r="K11" s="39" t="s">
        <v>93</v>
      </c>
      <c r="N11" s="64" t="e">
        <f ca="1">N10/0.06479891</f>
        <v>#NAME?</v>
      </c>
      <c r="O11" s="39" t="s">
        <v>93</v>
      </c>
      <c r="Q11" s="32" t="s">
        <v>90</v>
      </c>
      <c r="R11" s="37" t="e">
        <f ca="1">R64+R76</f>
        <v>#NAME?</v>
      </c>
      <c r="S11" s="19" t="s">
        <v>87</v>
      </c>
      <c r="U11" s="32" t="s">
        <v>90</v>
      </c>
      <c r="V11" s="37" t="e">
        <f ca="1">V55+V78+V90</f>
        <v>#NAME?</v>
      </c>
      <c r="W11" s="19" t="s">
        <v>87</v>
      </c>
      <c r="X11" s="2"/>
    </row>
    <row r="12" spans="1:24" x14ac:dyDescent="0.2">
      <c r="A12" s="38" t="s">
        <v>290</v>
      </c>
      <c r="F12" s="102" t="e">
        <f ca="1">F11/0.06479891</f>
        <v>#NAME?</v>
      </c>
      <c r="G12" s="39" t="s">
        <v>93</v>
      </c>
      <c r="I12" s="38" t="s">
        <v>290</v>
      </c>
      <c r="M12" s="38" t="s">
        <v>290</v>
      </c>
      <c r="R12" s="50" t="e">
        <f ca="1">R11/0.06479891</f>
        <v>#NAME?</v>
      </c>
      <c r="S12" s="39" t="s">
        <v>93</v>
      </c>
      <c r="U12" s="2"/>
      <c r="V12" s="50" t="e">
        <f ca="1">V11/0.06479891</f>
        <v>#NAME?</v>
      </c>
      <c r="W12" s="39" t="s">
        <v>93</v>
      </c>
      <c r="X12" s="2"/>
    </row>
    <row r="13" spans="1:24" x14ac:dyDescent="0.2">
      <c r="A13" s="2" t="s">
        <v>288</v>
      </c>
      <c r="B13" s="1" t="e">
        <f ca="1">Projectile!B25-B30-B36-B42</f>
        <v>#NAME?</v>
      </c>
      <c r="C13" s="39" t="s">
        <v>36</v>
      </c>
      <c r="F13" s="102"/>
      <c r="I13" s="2" t="s">
        <v>288</v>
      </c>
      <c r="J13" s="1" t="e">
        <f ca="1">Projectile!B25-J35-J46-J52-Projectile!J24</f>
        <v>#NAME?</v>
      </c>
      <c r="K13" s="39" t="s">
        <v>36</v>
      </c>
      <c r="M13" s="2" t="s">
        <v>288</v>
      </c>
      <c r="N13" s="1" t="e">
        <f ca="1">Projectile!B25-N30-N49-N61-N55-Projectile!J24</f>
        <v>#NAME?</v>
      </c>
      <c r="O13" s="39" t="s">
        <v>36</v>
      </c>
      <c r="R13" s="1"/>
      <c r="U13" s="2"/>
      <c r="V13" s="1"/>
      <c r="W13" s="39"/>
      <c r="X13" s="2"/>
    </row>
    <row r="14" spans="1:24" x14ac:dyDescent="0.2">
      <c r="E14" s="38" t="s">
        <v>30</v>
      </c>
      <c r="F14" s="102"/>
      <c r="Q14" s="38" t="s">
        <v>30</v>
      </c>
      <c r="R14" s="1"/>
      <c r="U14" s="38" t="s">
        <v>30</v>
      </c>
      <c r="V14" s="1"/>
      <c r="W14" s="39"/>
      <c r="X14" s="2"/>
    </row>
    <row r="15" spans="1:24" x14ac:dyDescent="0.2">
      <c r="A15" s="38" t="s">
        <v>274</v>
      </c>
      <c r="E15" s="2" t="s">
        <v>461</v>
      </c>
      <c r="F15" s="102">
        <f>Projectile!N20+Projectile!N5*Projectile!N22</f>
        <v>-13.429473807779948</v>
      </c>
      <c r="G15" s="39" t="s">
        <v>2</v>
      </c>
      <c r="I15" s="38" t="s">
        <v>274</v>
      </c>
      <c r="M15" s="38" t="s">
        <v>315</v>
      </c>
      <c r="Q15" s="2" t="s">
        <v>461</v>
      </c>
      <c r="R15" s="1">
        <f>Projectile!N20+Projectile!N5*Projectile!N22</f>
        <v>-13.429473807779948</v>
      </c>
      <c r="S15" s="39" t="s">
        <v>2</v>
      </c>
      <c r="U15" s="2" t="s">
        <v>461</v>
      </c>
      <c r="V15" s="1">
        <f>V16+Projectile!J5*Projectile!B47</f>
        <v>-9.34</v>
      </c>
      <c r="W15" s="39" t="s">
        <v>2</v>
      </c>
      <c r="X15" s="2"/>
    </row>
    <row r="16" spans="1:24" x14ac:dyDescent="0.2">
      <c r="A16" s="2" t="s">
        <v>190</v>
      </c>
      <c r="B16" s="1" t="e">
        <f ca="1">B18+B17</f>
        <v>#NAME?</v>
      </c>
      <c r="C16" s="39" t="s">
        <v>2</v>
      </c>
      <c r="E16" s="2" t="s">
        <v>460</v>
      </c>
      <c r="F16" s="102">
        <f>F15-Projectile!N5*F29*(1-SIN(F33*PI()/180))</f>
        <v>-12.994736903889974</v>
      </c>
      <c r="G16" s="39" t="s">
        <v>2</v>
      </c>
      <c r="I16" s="2" t="s">
        <v>190</v>
      </c>
      <c r="J16" s="1" t="e">
        <f ca="1">J17+J18+J19+J20+J21</f>
        <v>#NAME?</v>
      </c>
      <c r="K16" s="39" t="s">
        <v>2</v>
      </c>
      <c r="M16" s="2" t="s">
        <v>190</v>
      </c>
      <c r="N16" s="1" t="e">
        <f ca="1">N18+N17+N19</f>
        <v>#NAME?</v>
      </c>
      <c r="O16" s="39" t="s">
        <v>2</v>
      </c>
      <c r="Q16" s="2" t="s">
        <v>460</v>
      </c>
      <c r="R16" s="1">
        <f>R15-Projectile!N5*R29*(1-SIN(R33*PI()/180))</f>
        <v>-12.994736903889974</v>
      </c>
      <c r="S16" s="39" t="s">
        <v>2</v>
      </c>
      <c r="U16" s="2" t="s">
        <v>473</v>
      </c>
      <c r="V16" s="1">
        <f>Projectile!J14</f>
        <v>-8.84</v>
      </c>
      <c r="W16" s="39" t="s">
        <v>2</v>
      </c>
      <c r="X16" s="2"/>
    </row>
    <row r="17" spans="1:24" x14ac:dyDescent="0.2">
      <c r="A17" s="2" t="s">
        <v>275</v>
      </c>
      <c r="B17" s="1" t="e">
        <f ca="1">ABS(B22-B20)</f>
        <v>#NAME?</v>
      </c>
      <c r="C17" s="39" t="s">
        <v>2</v>
      </c>
      <c r="E17" s="2" t="s">
        <v>459</v>
      </c>
      <c r="F17" s="102">
        <f>Projectile!N9</f>
        <v>-8.84</v>
      </c>
      <c r="G17" s="39" t="s">
        <v>2</v>
      </c>
      <c r="I17" s="2" t="s">
        <v>297</v>
      </c>
      <c r="J17" s="1">
        <f>ABS(J22-J23)</f>
        <v>0.43473690388997355</v>
      </c>
      <c r="K17" s="39" t="s">
        <v>2</v>
      </c>
      <c r="M17" s="2" t="s">
        <v>296</v>
      </c>
      <c r="N17" s="1" t="e">
        <f ca="1">IF(N24&gt;Projectile!F44,MIN(ABS(Projectile!F39-N22),N24/(2*TAN(PI()/6))),0)</f>
        <v>#NAME?</v>
      </c>
      <c r="O17" s="39" t="s">
        <v>2</v>
      </c>
      <c r="Q17" s="2" t="s">
        <v>459</v>
      </c>
      <c r="R17" s="1">
        <f>Projectile!N9</f>
        <v>-8.84</v>
      </c>
      <c r="S17" s="39" t="s">
        <v>2</v>
      </c>
      <c r="U17" s="2" t="s">
        <v>457</v>
      </c>
      <c r="V17" s="1">
        <f>Projectile!F6</f>
        <v>0</v>
      </c>
      <c r="W17" s="39" t="s">
        <v>2</v>
      </c>
      <c r="X17" s="2"/>
    </row>
    <row r="18" spans="1:24" x14ac:dyDescent="0.2">
      <c r="A18" s="2" t="s">
        <v>296</v>
      </c>
      <c r="B18" s="1" t="e">
        <f ca="1">IF(B25&gt;Projectile!F44,MIN(ABS(Projectile!F39-B22),B25/(2*TAN(PI()/6))),0)</f>
        <v>#NAME?</v>
      </c>
      <c r="C18" s="39" t="s">
        <v>2</v>
      </c>
      <c r="E18" s="2" t="s">
        <v>457</v>
      </c>
      <c r="F18" s="102">
        <f>Projectile!F6</f>
        <v>0</v>
      </c>
      <c r="G18" s="39" t="s">
        <v>2</v>
      </c>
      <c r="I18" s="2" t="s">
        <v>428</v>
      </c>
      <c r="J18" s="1" t="e">
        <f ca="1">ABS(J23-J24)</f>
        <v>#NAME?</v>
      </c>
      <c r="K18" s="39" t="s">
        <v>2</v>
      </c>
      <c r="M18" s="2" t="s">
        <v>295</v>
      </c>
      <c r="N18" s="1" t="e">
        <f ca="1">ABS(N22-N21)</f>
        <v>#NAME?</v>
      </c>
      <c r="O18" s="39" t="s">
        <v>2</v>
      </c>
      <c r="Q18" s="2" t="s">
        <v>457</v>
      </c>
      <c r="R18" s="1">
        <f>Projectile!F6</f>
        <v>0</v>
      </c>
      <c r="S18" s="39" t="s">
        <v>2</v>
      </c>
      <c r="U18" s="2" t="s">
        <v>456</v>
      </c>
      <c r="V18" s="1" t="e">
        <f ca="1">Projectile!F15</f>
        <v>#NAME?</v>
      </c>
      <c r="W18" s="39" t="s">
        <v>2</v>
      </c>
      <c r="X18" s="2"/>
    </row>
    <row r="19" spans="1:24" x14ac:dyDescent="0.2">
      <c r="A19" s="2" t="s">
        <v>281</v>
      </c>
      <c r="B19" s="1" t="e">
        <f ca="1">B18/4</f>
        <v>#NAME?</v>
      </c>
      <c r="C19" s="39" t="s">
        <v>2</v>
      </c>
      <c r="E19" s="2" t="s">
        <v>456</v>
      </c>
      <c r="F19" s="102" t="e">
        <f ca="1">Projectile!F15</f>
        <v>#NAME?</v>
      </c>
      <c r="G19" s="39" t="s">
        <v>2</v>
      </c>
      <c r="I19" s="2" t="s">
        <v>295</v>
      </c>
      <c r="J19" s="1" t="e">
        <f ca="1">ABS(J24-J25)</f>
        <v>#NAME?</v>
      </c>
      <c r="K19" s="39" t="s">
        <v>2</v>
      </c>
      <c r="M19" s="2" t="s">
        <v>320</v>
      </c>
      <c r="N19" s="1">
        <f>ABS(N21-N20)</f>
        <v>3.7199999999999989</v>
      </c>
      <c r="O19" s="39" t="s">
        <v>2</v>
      </c>
      <c r="Q19" s="2" t="s">
        <v>456</v>
      </c>
      <c r="R19" s="1" t="e">
        <f ca="1">Projectile!F15</f>
        <v>#NAME?</v>
      </c>
      <c r="S19" s="39" t="s">
        <v>2</v>
      </c>
      <c r="U19" s="2" t="s">
        <v>458</v>
      </c>
      <c r="V19" s="1" t="e">
        <f ca="1">Projectile!F16</f>
        <v>#NAME?</v>
      </c>
      <c r="W19" s="39" t="s">
        <v>2</v>
      </c>
      <c r="X19" s="2"/>
    </row>
    <row r="20" spans="1:24" x14ac:dyDescent="0.2">
      <c r="A20" s="2" t="s">
        <v>276</v>
      </c>
      <c r="B20" s="1" t="e">
        <f ca="1">Inv_Elliptical(B24/2,Projectile!F33,Projectile!F34,Projectile!F35,Projectile!F36,Projectile!F5)</f>
        <v>#NAME?</v>
      </c>
      <c r="C20" s="39" t="s">
        <v>2</v>
      </c>
      <c r="E20" s="2" t="s">
        <v>458</v>
      </c>
      <c r="F20" s="102" t="e">
        <f ca="1">Projectile!F16</f>
        <v>#NAME?</v>
      </c>
      <c r="G20" s="39" t="s">
        <v>2</v>
      </c>
      <c r="I20" s="2" t="s">
        <v>45</v>
      </c>
      <c r="J20" s="1" t="e">
        <f ca="1">ABS(J25-J26)</f>
        <v>#NAME?</v>
      </c>
      <c r="K20" s="39" t="s">
        <v>2</v>
      </c>
      <c r="M20" s="2" t="s">
        <v>322</v>
      </c>
      <c r="N20" s="1">
        <f>Projectile!N34-Projectile!N5*Projectile!B47*SIN(Projectile!N12*PI()/180)</f>
        <v>-12.429473807779946</v>
      </c>
      <c r="O20" s="39" t="s">
        <v>2</v>
      </c>
      <c r="Q20" s="2" t="s">
        <v>458</v>
      </c>
      <c r="R20" s="1" t="e">
        <f ca="1">Projectile!F16</f>
        <v>#NAME?</v>
      </c>
      <c r="S20" s="39" t="s">
        <v>2</v>
      </c>
      <c r="U20" s="2" t="s">
        <v>39</v>
      </c>
      <c r="V20" s="1">
        <f>V16</f>
        <v>-8.84</v>
      </c>
      <c r="W20" s="39" t="s">
        <v>2</v>
      </c>
      <c r="X20" s="2"/>
    </row>
    <row r="21" spans="1:24" x14ac:dyDescent="0.2">
      <c r="A21" s="2" t="s">
        <v>282</v>
      </c>
      <c r="B21" s="1" t="e">
        <f ca="1">B20+Projectile!F5*B19</f>
        <v>#NAME?</v>
      </c>
      <c r="C21" s="39" t="s">
        <v>2</v>
      </c>
      <c r="E21" s="2" t="s">
        <v>39</v>
      </c>
      <c r="F21" s="102">
        <f>F15-Projectile!N5*F29</f>
        <v>-12.929473807779948</v>
      </c>
      <c r="G21" s="39" t="s">
        <v>2</v>
      </c>
      <c r="I21" s="2" t="s">
        <v>296</v>
      </c>
      <c r="J21" s="1" t="e">
        <f ca="1">IF(J31&gt;Projectile!F44,MIN(ABS(Projectile!F39-J26),J31/(2*TAN(PI()/6))),0)</f>
        <v>#NAME?</v>
      </c>
      <c r="K21" s="39" t="s">
        <v>2</v>
      </c>
      <c r="M21" s="2" t="s">
        <v>294</v>
      </c>
      <c r="N21" s="1">
        <f>Projectile!N33-Projectile!N5*Projectile!B47*SIN(Projectile!N12*PI()/180)</f>
        <v>-8.709473807779947</v>
      </c>
      <c r="O21" s="39" t="s">
        <v>2</v>
      </c>
      <c r="Q21" s="2" t="s">
        <v>39</v>
      </c>
      <c r="R21" s="1">
        <f>R15-Projectile!N5*R29</f>
        <v>-12.929473807779948</v>
      </c>
      <c r="S21" s="39" t="s">
        <v>2</v>
      </c>
      <c r="U21" s="2" t="s">
        <v>40</v>
      </c>
      <c r="V21" s="1">
        <f>Projectile!B9/2-Projectile!B47</f>
        <v>2.6</v>
      </c>
      <c r="W21" s="39" t="s">
        <v>2</v>
      </c>
      <c r="X21" s="2"/>
    </row>
    <row r="22" spans="1:24" x14ac:dyDescent="0.2">
      <c r="A22" s="2" t="s">
        <v>277</v>
      </c>
      <c r="B22" s="1" t="e">
        <f ca="1">Inv_Elliptical(B25/2,Projectile!F33,Projectile!F34,Projectile!F35,Projectile!F36,Projectile!F5)</f>
        <v>#NAME?</v>
      </c>
      <c r="C22" s="39" t="s">
        <v>2</v>
      </c>
      <c r="E22" s="2" t="s">
        <v>40</v>
      </c>
      <c r="F22" s="102">
        <f>F31/2-F29*COS(F33*PI()/180)</f>
        <v>2.0572960790974557</v>
      </c>
      <c r="G22" s="39" t="s">
        <v>2</v>
      </c>
      <c r="I22" s="2" t="s">
        <v>276</v>
      </c>
      <c r="J22" s="1">
        <f>Projectile!N35</f>
        <v>-12.929473807779946</v>
      </c>
      <c r="K22" s="39" t="s">
        <v>2</v>
      </c>
      <c r="M22" s="2" t="s">
        <v>424</v>
      </c>
      <c r="N22" s="1" t="e">
        <f ca="1">Inv_Elliptical(N24/2,Projectile!F33,Projectile!F34,Projectile!F35,Projectile!F36,Projectile!F5)</f>
        <v>#NAME?</v>
      </c>
      <c r="O22" s="39" t="s">
        <v>2</v>
      </c>
      <c r="Q22" s="2" t="s">
        <v>40</v>
      </c>
      <c r="R22" s="1">
        <f>R31/2-R29*COS(R33*PI()/180)</f>
        <v>2.0572960790974557</v>
      </c>
      <c r="S22" s="39" t="s">
        <v>2</v>
      </c>
      <c r="U22" s="2" t="s">
        <v>20</v>
      </c>
      <c r="V22" s="1">
        <f>ABS(V16-V15)</f>
        <v>0.5</v>
      </c>
      <c r="W22" s="39" t="s">
        <v>2</v>
      </c>
      <c r="X22" s="2"/>
    </row>
    <row r="23" spans="1:24" x14ac:dyDescent="0.2">
      <c r="A23" s="2" t="s">
        <v>279</v>
      </c>
      <c r="B23" s="1" t="e">
        <f ca="1">B22+Projectile!F5*B18</f>
        <v>#NAME?</v>
      </c>
      <c r="C23" s="39" t="s">
        <v>2</v>
      </c>
      <c r="E23" s="2" t="s">
        <v>20</v>
      </c>
      <c r="F23" s="102">
        <f>ABS(F15-F16)</f>
        <v>0.43473690388997355</v>
      </c>
      <c r="G23" s="39" t="s">
        <v>2</v>
      </c>
      <c r="I23" s="2" t="s">
        <v>425</v>
      </c>
      <c r="J23" s="1">
        <f>IF(J30&gt;Projectile!N42,Projectile!N34,J24)</f>
        <v>-12.494736903889972</v>
      </c>
      <c r="K23" s="39" t="s">
        <v>2</v>
      </c>
      <c r="M23" s="2" t="s">
        <v>279</v>
      </c>
      <c r="N23" s="1" t="e">
        <f ca="1">N22+Projectile!F5*N17</f>
        <v>#NAME?</v>
      </c>
      <c r="O23" s="39" t="s">
        <v>2</v>
      </c>
      <c r="Q23" s="2" t="s">
        <v>20</v>
      </c>
      <c r="R23" s="1">
        <f>ABS(R15-R16)</f>
        <v>0.43473690388997355</v>
      </c>
      <c r="S23" s="39" t="s">
        <v>2</v>
      </c>
      <c r="U23" s="2" t="s">
        <v>73</v>
      </c>
      <c r="V23" s="1">
        <f>Projectile!J15</f>
        <v>8.84</v>
      </c>
      <c r="W23" s="39" t="s">
        <v>2</v>
      </c>
      <c r="X23" s="2"/>
    </row>
    <row r="24" spans="1:24" x14ac:dyDescent="0.2">
      <c r="A24" s="2" t="s">
        <v>204</v>
      </c>
      <c r="B24" s="1">
        <f>ROUNDDOWN(Projectile!J38-0.2,1)</f>
        <v>5</v>
      </c>
      <c r="C24" s="39" t="s">
        <v>2</v>
      </c>
      <c r="E24" s="2" t="s">
        <v>428</v>
      </c>
      <c r="F24" s="102">
        <f>ABS(F16-F17)</f>
        <v>4.1547369038899742</v>
      </c>
      <c r="G24" s="39" t="s">
        <v>2</v>
      </c>
      <c r="I24" s="2" t="s">
        <v>294</v>
      </c>
      <c r="J24" s="1" t="e">
        <f ca="1">IF(J30&gt;Projectile!N42,Inv_Conical(J30/2,Projectile!N33,Projectile!N38,Projectile!N41,Projectile!N42,Projectile!N5),IF(J30&gt;Projectile!N43,Inv_Elliptical(J30/2,Projectile!N20,Projectile!N21,Projectile!N40,Projectile!N40,Projectile!N5),J22))</f>
        <v>#NAME?</v>
      </c>
      <c r="K24" s="39" t="s">
        <v>2</v>
      </c>
      <c r="M24" s="2" t="s">
        <v>292</v>
      </c>
      <c r="N24" s="1">
        <f>Projectile!B9-4*Projectile!B47</f>
        <v>4.2</v>
      </c>
      <c r="O24" s="39" t="s">
        <v>2</v>
      </c>
      <c r="Q24" s="2" t="s">
        <v>428</v>
      </c>
      <c r="R24" s="1">
        <f>ABS(R16-R17)</f>
        <v>4.1547369038899742</v>
      </c>
      <c r="S24" s="39" t="s">
        <v>2</v>
      </c>
      <c r="U24" s="2" t="s">
        <v>45</v>
      </c>
      <c r="V24" s="1" t="e">
        <f ca="1">Projectile!F19</f>
        <v>#NAME?</v>
      </c>
      <c r="W24" s="39" t="s">
        <v>2</v>
      </c>
      <c r="X24" s="2"/>
    </row>
    <row r="25" spans="1:24" x14ac:dyDescent="0.2">
      <c r="A25" s="2" t="s">
        <v>278</v>
      </c>
      <c r="B25" s="1" t="e">
        <f ca="1">MAX(B24/2,Projectile!F44)</f>
        <v>#NAME?</v>
      </c>
      <c r="C25" s="39" t="s">
        <v>2</v>
      </c>
      <c r="E25" s="2" t="s">
        <v>73</v>
      </c>
      <c r="F25" s="102">
        <f>Projectile!J15</f>
        <v>8.84</v>
      </c>
      <c r="G25" s="39" t="s">
        <v>2</v>
      </c>
      <c r="I25" s="2" t="s">
        <v>424</v>
      </c>
      <c r="J25" s="1" t="e">
        <f ca="1">IF(J30&gt;Projectile!F33,Inv_Elliptical(J30/2,Projectile!F33,Projectile!F34,Projectile!F35,Projectile!F36,Projectile!F5),Projectile!F38)</f>
        <v>#NAME?</v>
      </c>
      <c r="K25" s="39" t="s">
        <v>2</v>
      </c>
      <c r="M25" s="2" t="s">
        <v>321</v>
      </c>
      <c r="N25" s="1">
        <f>Projectile!N42-2*Projectile!B47</f>
        <v>3.2205054179497754</v>
      </c>
      <c r="O25" s="39" t="s">
        <v>2</v>
      </c>
      <c r="Q25" s="2" t="s">
        <v>73</v>
      </c>
      <c r="R25" s="1">
        <f>Projectile!J15</f>
        <v>8.84</v>
      </c>
      <c r="S25" s="39" t="s">
        <v>2</v>
      </c>
      <c r="U25" s="2" t="s">
        <v>12</v>
      </c>
      <c r="V25" s="1" t="e">
        <f ca="1">Projectile!F23</f>
        <v>#NAME?</v>
      </c>
      <c r="W25" s="39" t="s">
        <v>2</v>
      </c>
      <c r="X25" s="2"/>
    </row>
    <row r="26" spans="1:24" x14ac:dyDescent="0.2">
      <c r="A26" s="2" t="s">
        <v>283</v>
      </c>
      <c r="B26" s="1" t="e">
        <f ca="1">IF(B19&gt;0,ATAN(B24/(2*B19))*360/PI(),180)</f>
        <v>#NAME?</v>
      </c>
      <c r="C26" s="39" t="s">
        <v>27</v>
      </c>
      <c r="E26" s="2" t="s">
        <v>45</v>
      </c>
      <c r="F26" s="102" t="e">
        <f ca="1">Projectile!F19</f>
        <v>#NAME?</v>
      </c>
      <c r="G26" s="39" t="s">
        <v>2</v>
      </c>
      <c r="I26" s="2" t="s">
        <v>298</v>
      </c>
      <c r="J26" s="1" t="e">
        <f ca="1">IF(J30&gt;Projectile!F33,Inv_Elliptical(J31/2,Projectile!F33,Projectile!F34,Projectile!F35,Projectile!F36,Projectile!F5),J25)</f>
        <v>#NAME?</v>
      </c>
      <c r="K26" s="39" t="s">
        <v>2</v>
      </c>
      <c r="M26" s="2" t="s">
        <v>280</v>
      </c>
      <c r="N26" s="1" t="e">
        <f ca="1">ATAN(N24/(2*N17))*360/PI()</f>
        <v>#NAME?</v>
      </c>
      <c r="O26" s="39" t="s">
        <v>27</v>
      </c>
      <c r="Q26" s="2" t="s">
        <v>45</v>
      </c>
      <c r="R26" s="1" t="e">
        <f ca="1">Projectile!F19</f>
        <v>#NAME?</v>
      </c>
      <c r="S26" s="39" t="s">
        <v>2</v>
      </c>
      <c r="U26" s="2" t="s">
        <v>190</v>
      </c>
      <c r="V26" s="1" t="e">
        <f ca="1">V22+V23+V24+V25</f>
        <v>#NAME?</v>
      </c>
      <c r="W26" s="39" t="s">
        <v>2</v>
      </c>
      <c r="X26" s="2"/>
    </row>
    <row r="27" spans="1:24" x14ac:dyDescent="0.2">
      <c r="A27" s="2" t="s">
        <v>280</v>
      </c>
      <c r="B27" s="1" t="e">
        <f ca="1">IF(B18&gt;0,ATAN(B25/(2*B18))*360/PI(),180)</f>
        <v>#NAME?</v>
      </c>
      <c r="C27" s="39" t="s">
        <v>27</v>
      </c>
      <c r="E27" s="2" t="s">
        <v>12</v>
      </c>
      <c r="F27" s="102" t="e">
        <f ca="1">Projectile!F23</f>
        <v>#NAME?</v>
      </c>
      <c r="G27" s="39" t="s">
        <v>2</v>
      </c>
      <c r="I27" s="2" t="s">
        <v>279</v>
      </c>
      <c r="J27" s="1" t="e">
        <f ca="1">J26+Projectile!F5*J21</f>
        <v>#NAME?</v>
      </c>
      <c r="K27" s="39" t="s">
        <v>2</v>
      </c>
      <c r="M27" s="2" t="s">
        <v>323</v>
      </c>
      <c r="N27" s="1">
        <f>Projectile!N12</f>
        <v>7.5</v>
      </c>
      <c r="O27" s="39" t="s">
        <v>27</v>
      </c>
      <c r="Q27" s="2" t="s">
        <v>12</v>
      </c>
      <c r="R27" s="1" t="e">
        <f ca="1">Projectile!F23</f>
        <v>#NAME?</v>
      </c>
      <c r="S27" s="39" t="s">
        <v>2</v>
      </c>
      <c r="U27" s="2" t="s">
        <v>517</v>
      </c>
      <c r="V27" s="1">
        <f>Projectile!B47</f>
        <v>0.5</v>
      </c>
      <c r="W27" s="39" t="s">
        <v>2</v>
      </c>
      <c r="X27" s="2"/>
    </row>
    <row r="28" spans="1:24" x14ac:dyDescent="0.2">
      <c r="A28" s="32" t="s">
        <v>37</v>
      </c>
      <c r="E28" s="2" t="s">
        <v>190</v>
      </c>
      <c r="F28" s="102" t="e">
        <f ca="1">F23+F24+F25+F26+F27</f>
        <v>#NAME?</v>
      </c>
      <c r="G28" s="39" t="s">
        <v>2</v>
      </c>
      <c r="I28" s="2" t="s">
        <v>204</v>
      </c>
      <c r="J28" s="1">
        <f>MIN(J30,Projectile!N43)</f>
        <v>3.2376156952021544</v>
      </c>
      <c r="K28" s="39" t="s">
        <v>2</v>
      </c>
      <c r="M28" s="32" t="s">
        <v>37</v>
      </c>
      <c r="Q28" s="2" t="s">
        <v>190</v>
      </c>
      <c r="R28" s="1" t="e">
        <f ca="1">R23+R24+R25+R26+R27</f>
        <v>#NAME?</v>
      </c>
      <c r="S28" s="39" t="s">
        <v>2</v>
      </c>
      <c r="U28" s="2" t="s">
        <v>423</v>
      </c>
      <c r="V28" s="1">
        <f>2*V21</f>
        <v>5.2</v>
      </c>
      <c r="W28" s="39" t="s">
        <v>2</v>
      </c>
      <c r="X28" s="2"/>
    </row>
    <row r="29" spans="1:24" x14ac:dyDescent="0.2">
      <c r="A29" s="6" t="s">
        <v>35</v>
      </c>
      <c r="C29" s="39" t="s">
        <v>2</v>
      </c>
      <c r="E29" s="2" t="s">
        <v>517</v>
      </c>
      <c r="F29" s="102">
        <f>Projectile!B47</f>
        <v>0.5</v>
      </c>
      <c r="G29" s="39" t="s">
        <v>2</v>
      </c>
      <c r="I29" s="2" t="s">
        <v>422</v>
      </c>
      <c r="J29" s="1">
        <f>MIN(J30,Projectile!N42)</f>
        <v>4.2205054179497754</v>
      </c>
      <c r="K29" s="39" t="s">
        <v>2</v>
      </c>
      <c r="M29" s="6" t="s">
        <v>35</v>
      </c>
      <c r="O29" s="39" t="s">
        <v>2</v>
      </c>
      <c r="Q29" s="2" t="s">
        <v>517</v>
      </c>
      <c r="R29" s="1">
        <f>Projectile!B47</f>
        <v>0.5</v>
      </c>
      <c r="S29" s="39" t="s">
        <v>2</v>
      </c>
      <c r="U29" s="2" t="s">
        <v>10</v>
      </c>
      <c r="V29" s="1" t="e">
        <f ca="1">Projectile!F21</f>
        <v>#NAME?</v>
      </c>
      <c r="W29" s="39" t="s">
        <v>2</v>
      </c>
      <c r="X29" s="2"/>
    </row>
    <row r="30" spans="1:24" x14ac:dyDescent="0.2">
      <c r="A30" s="6" t="s">
        <v>104</v>
      </c>
      <c r="B30" s="1" t="e">
        <f ca="1">Vol_Elliptical(B20,B22,Projectile!F33,Projectile!F34,Projectile!F35,Projectile!F36)+IF(B18&gt;0,Vol_Conical(B22,B23,B22,B18,B25,0,Projectile!F5)-Vol_Conical(B20,B21,B20,B19,B24,0,Projectile!F5),0)</f>
        <v>#NAME?</v>
      </c>
      <c r="C30" s="39" t="s">
        <v>36</v>
      </c>
      <c r="E30" s="2" t="s">
        <v>423</v>
      </c>
      <c r="F30" s="102">
        <f>F22*2</f>
        <v>4.1145921581949114</v>
      </c>
      <c r="G30" s="39" t="s">
        <v>2</v>
      </c>
      <c r="I30" s="2" t="s">
        <v>292</v>
      </c>
      <c r="J30" s="1">
        <f>ROUND(Projectile!J38-0.4,1)</f>
        <v>4.8</v>
      </c>
      <c r="K30" s="39" t="s">
        <v>2</v>
      </c>
      <c r="M30" s="6" t="s">
        <v>104</v>
      </c>
      <c r="N30" s="1" t="e">
        <f ca="1">Vol_Conical(N22,N23,N22,N17,N24,0,Projectile!F5)+Vol_Conical(N21,N22,N21,N18,N24,N24,Projectile!J5)+IF(N19&gt;0,Vol_Conical(N20,N21,N20,N19,N24,N25,Projectile!N5),0)</f>
        <v>#NAME?</v>
      </c>
      <c r="O30" s="39" t="s">
        <v>36</v>
      </c>
      <c r="Q30" s="2" t="s">
        <v>423</v>
      </c>
      <c r="R30" s="1">
        <f>R22*2</f>
        <v>4.1145921581949114</v>
      </c>
      <c r="S30" s="39" t="s">
        <v>2</v>
      </c>
      <c r="U30" s="2" t="s">
        <v>44</v>
      </c>
      <c r="V30" s="1" t="e">
        <f ca="1">Vol_Elliptical(V15,V16,V20,V21,V27,V27)</f>
        <v>#NAME?</v>
      </c>
      <c r="W30" s="39" t="s">
        <v>36</v>
      </c>
      <c r="X30" s="2"/>
    </row>
    <row r="31" spans="1:24" x14ac:dyDescent="0.2">
      <c r="A31" s="2" t="s">
        <v>285</v>
      </c>
      <c r="B31" s="1" t="e">
        <f ca="1">B1*B30</f>
        <v>#NAME?</v>
      </c>
      <c r="C31" s="39" t="s">
        <v>87</v>
      </c>
      <c r="E31" s="2" t="s">
        <v>422</v>
      </c>
      <c r="F31" s="102">
        <f>Projectile!B9-2*F24*TAN(F33*PI()/180)</f>
        <v>5.1060370195687215</v>
      </c>
      <c r="G31" s="39" t="s">
        <v>2</v>
      </c>
      <c r="I31" s="2" t="s">
        <v>293</v>
      </c>
      <c r="J31" s="1" t="e">
        <f ca="1">MAX(J30/2,Projectile!F44)</f>
        <v>#NAME?</v>
      </c>
      <c r="K31" s="39" t="s">
        <v>2</v>
      </c>
      <c r="M31" s="2" t="s">
        <v>285</v>
      </c>
      <c r="N31" s="1" t="e">
        <f ca="1">N30*B2</f>
        <v>#NAME?</v>
      </c>
      <c r="O31" s="39" t="s">
        <v>87</v>
      </c>
      <c r="Q31" s="2" t="s">
        <v>422</v>
      </c>
      <c r="R31" s="1">
        <f>Projectile!B9-2*R24*TAN(R33*PI()/180)</f>
        <v>5.1060370195687215</v>
      </c>
      <c r="S31" s="39" t="s">
        <v>2</v>
      </c>
      <c r="U31" s="2" t="s">
        <v>63</v>
      </c>
      <c r="V31" s="1">
        <f>R35</f>
        <v>0.26688583574482161</v>
      </c>
      <c r="W31" s="39" t="s">
        <v>36</v>
      </c>
      <c r="X31" s="2"/>
    </row>
    <row r="32" spans="1:24" x14ac:dyDescent="0.2">
      <c r="E32" s="2" t="s">
        <v>10</v>
      </c>
      <c r="F32" s="102" t="e">
        <f ca="1">Projectile!F21</f>
        <v>#NAME?</v>
      </c>
      <c r="G32" s="39" t="s">
        <v>2</v>
      </c>
      <c r="I32" s="2" t="s">
        <v>280</v>
      </c>
      <c r="J32" s="1" t="e">
        <f ca="1">IF(J21&gt;0,ATAN(J31/(2*J21))*360/PI(),180)</f>
        <v>#NAME?</v>
      </c>
      <c r="K32" s="39" t="s">
        <v>27</v>
      </c>
      <c r="M32" s="2" t="s">
        <v>231</v>
      </c>
      <c r="N32" s="1" t="e">
        <f ca="1">400*N31/(PI()*POWER(N24,2))</f>
        <v>#NAME?</v>
      </c>
      <c r="O32" s="39" t="s">
        <v>232</v>
      </c>
      <c r="Q32" s="2" t="s">
        <v>10</v>
      </c>
      <c r="R32" s="1" t="e">
        <f ca="1">Projectile!F21</f>
        <v>#NAME?</v>
      </c>
      <c r="S32" s="39" t="s">
        <v>2</v>
      </c>
      <c r="U32" s="2" t="s">
        <v>34</v>
      </c>
      <c r="V32" s="1" t="e">
        <f ca="1">R36</f>
        <v>#NAME?</v>
      </c>
      <c r="W32" s="39" t="s">
        <v>36</v>
      </c>
      <c r="X32" s="2"/>
    </row>
    <row r="33" spans="1:24" x14ac:dyDescent="0.2">
      <c r="A33" s="38" t="s">
        <v>284</v>
      </c>
      <c r="E33" s="2" t="s">
        <v>323</v>
      </c>
      <c r="F33" s="102">
        <f>Projectile!N12</f>
        <v>7.5</v>
      </c>
      <c r="G33" s="39" t="s">
        <v>27</v>
      </c>
      <c r="I33" s="32" t="s">
        <v>37</v>
      </c>
      <c r="Q33" s="2" t="s">
        <v>323</v>
      </c>
      <c r="R33" s="1">
        <f>Projectile!N12</f>
        <v>7.5</v>
      </c>
      <c r="S33" s="39" t="s">
        <v>27</v>
      </c>
      <c r="U33" s="2"/>
      <c r="V33" s="1"/>
      <c r="W33" s="39"/>
      <c r="X33" s="2"/>
    </row>
    <row r="34" spans="1:24" x14ac:dyDescent="0.2">
      <c r="A34" s="32" t="s">
        <v>37</v>
      </c>
      <c r="E34" s="2" t="s">
        <v>44</v>
      </c>
      <c r="F34" s="1" t="e">
        <f ca="1">Vol_Conical(F17,F16,F17,F24,Projectile!B9,F31,Projectile!N5)+Vol_Elliptical(F15,F16,F21,F22,F29,F29)</f>
        <v>#NAME?</v>
      </c>
      <c r="G34" s="39" t="s">
        <v>36</v>
      </c>
      <c r="I34" s="6" t="s">
        <v>35</v>
      </c>
      <c r="K34" s="39" t="s">
        <v>2</v>
      </c>
      <c r="M34" s="38" t="s">
        <v>475</v>
      </c>
      <c r="Q34" s="2" t="s">
        <v>44</v>
      </c>
      <c r="R34" s="1" t="e">
        <f ca="1">Vol_Conical(R17,R16,R17,R24,Projectile!B9,R31,Projectile!N5)+Vol_Elliptical(R15,R16,R21,R22,R29,R29)</f>
        <v>#NAME?</v>
      </c>
      <c r="S34" s="39" t="s">
        <v>36</v>
      </c>
      <c r="U34" s="38" t="s">
        <v>290</v>
      </c>
      <c r="V34" s="1"/>
      <c r="W34" s="39"/>
      <c r="X34" s="2"/>
    </row>
    <row r="35" spans="1:24" x14ac:dyDescent="0.2">
      <c r="A35" s="6" t="s">
        <v>35</v>
      </c>
      <c r="C35" s="39" t="s">
        <v>2</v>
      </c>
      <c r="E35" s="2" t="s">
        <v>63</v>
      </c>
      <c r="F35" s="102" t="e">
        <f ca="1">Projectile!J27</f>
        <v>#NAME?</v>
      </c>
      <c r="G35" s="39" t="s">
        <v>36</v>
      </c>
      <c r="I35" s="6" t="s">
        <v>104</v>
      </c>
      <c r="J35" s="1" t="e">
        <f ca="1">IF(J22&lt;&gt;J24,Vol_Elliptical(J22,J23,Projectile!N20,Projectile!N21,Projectile!N40,Projectile!N40),0)+IF(J23&lt;&gt;J24,Vol_Conical(J23,J24,Projectile!N33,Projectile!N38,Projectile!N41,Projectile!N42,Projectile!N5),0)+PI()/4000*J30*J30*J19+IF(J25&lt;&gt;J26,Vol_Elliptical(J25,J26,Projectile!F33,Projectile!F34,Projectile!F35,Projectile!F36),0)+IF(J26&lt;&gt;J27,Vol_Conical(J26,J27,J26,J21,J31,0,Projectile!F5),)</f>
        <v>#NAME?</v>
      </c>
      <c r="K35" s="39" t="s">
        <v>36</v>
      </c>
      <c r="M35" s="2" t="s">
        <v>432</v>
      </c>
      <c r="N35" s="1">
        <f>Projectile!N35</f>
        <v>-12.929473807779946</v>
      </c>
      <c r="O35" s="39" t="s">
        <v>2</v>
      </c>
      <c r="Q35" s="2" t="s">
        <v>63</v>
      </c>
      <c r="R35" s="1">
        <f>PI()/4000*R25*POWER(Projectile!B9,2)</f>
        <v>0.26688583574482161</v>
      </c>
      <c r="S35" s="39" t="s">
        <v>36</v>
      </c>
      <c r="U35" s="2" t="s">
        <v>288</v>
      </c>
      <c r="V35" s="1" t="e">
        <f ca="1">V8-V54-V77-V89</f>
        <v>#NAME?</v>
      </c>
      <c r="W35" s="39" t="s">
        <v>36</v>
      </c>
      <c r="X35" s="2"/>
    </row>
    <row r="36" spans="1:24" x14ac:dyDescent="0.2">
      <c r="A36" s="6" t="s">
        <v>104</v>
      </c>
      <c r="B36" s="1" t="e">
        <f ca="1">Vol_Elliptical(Projectile!F37,B20,Projectile!F33,Projectile!F34,Projectile!F35,Projectile!F36)+IF(B19&gt;0,Vol_Conical(B20,B21,B20,B19,B24,0,Projectile!F5),0)+Projectile!J48+Projectile!N46</f>
        <v>#NAME?</v>
      </c>
      <c r="C36" s="39" t="s">
        <v>36</v>
      </c>
      <c r="E36" s="2" t="s">
        <v>34</v>
      </c>
      <c r="F36" s="102" t="e">
        <f ca="1">Projectile!F29</f>
        <v>#NAME?</v>
      </c>
      <c r="G36" s="39" t="s">
        <v>36</v>
      </c>
      <c r="I36" s="2" t="s">
        <v>285</v>
      </c>
      <c r="J36" s="1" t="e">
        <f ca="1">B1*J35</f>
        <v>#NAME?</v>
      </c>
      <c r="K36" s="39" t="s">
        <v>87</v>
      </c>
      <c r="M36" s="2" t="s">
        <v>433</v>
      </c>
      <c r="N36" s="1">
        <f>Projectile!N34</f>
        <v>-12.494736903889972</v>
      </c>
      <c r="O36" s="39" t="s">
        <v>2</v>
      </c>
      <c r="Q36" s="2" t="s">
        <v>34</v>
      </c>
      <c r="R36" s="1" t="e">
        <f ca="1">Projectile!F29</f>
        <v>#NAME?</v>
      </c>
      <c r="S36" s="39" t="s">
        <v>36</v>
      </c>
      <c r="U36" s="2"/>
      <c r="V36" s="1"/>
      <c r="W36" s="39"/>
      <c r="X36" s="2"/>
    </row>
    <row r="37" spans="1:24" x14ac:dyDescent="0.2">
      <c r="A37" s="2" t="s">
        <v>285</v>
      </c>
      <c r="B37" s="1" t="e">
        <f ca="1">Projectile!B43*B36</f>
        <v>#NAME?</v>
      </c>
      <c r="C37" s="39" t="s">
        <v>87</v>
      </c>
      <c r="F37" s="102"/>
      <c r="M37" s="2" t="s">
        <v>435</v>
      </c>
      <c r="N37" s="1">
        <f>Projectile!J34</f>
        <v>-8.7747369038899734</v>
      </c>
      <c r="O37" s="39" t="s">
        <v>2</v>
      </c>
      <c r="R37" s="1"/>
      <c r="U37" s="38" t="s">
        <v>8</v>
      </c>
      <c r="V37" s="1"/>
      <c r="W37" s="39"/>
      <c r="X37" s="2"/>
    </row>
    <row r="38" spans="1:24" x14ac:dyDescent="0.2">
      <c r="E38" s="38" t="s">
        <v>274</v>
      </c>
      <c r="F38" s="102"/>
      <c r="I38" s="38" t="s">
        <v>429</v>
      </c>
      <c r="M38" s="2" t="s">
        <v>436</v>
      </c>
      <c r="N38" s="1" t="e">
        <f ca="1">Projectile!J30</f>
        <v>#NAME?</v>
      </c>
      <c r="O38" s="39" t="s">
        <v>2</v>
      </c>
      <c r="Q38" s="38" t="s">
        <v>8</v>
      </c>
      <c r="R38" s="1"/>
      <c r="U38" s="2" t="s">
        <v>476</v>
      </c>
      <c r="V38" s="1">
        <f>V16</f>
        <v>-8.84</v>
      </c>
      <c r="W38" s="39" t="s">
        <v>2</v>
      </c>
      <c r="X38" s="2"/>
    </row>
    <row r="39" spans="1:24" x14ac:dyDescent="0.2">
      <c r="A39" s="38" t="s">
        <v>38</v>
      </c>
      <c r="E39" s="2" t="s">
        <v>281</v>
      </c>
      <c r="F39" s="102">
        <f>0.5*F51/TAN(F55*PI()/360)</f>
        <v>0.66987298107780668</v>
      </c>
      <c r="G39" s="39" t="s">
        <v>2</v>
      </c>
      <c r="I39" s="2" t="s">
        <v>299</v>
      </c>
      <c r="J39" s="1">
        <f>ROUND(PI()*(J30+Projectile!J38)/2,2)</f>
        <v>15.71</v>
      </c>
      <c r="K39" s="39" t="s">
        <v>2</v>
      </c>
      <c r="M39" s="2" t="s">
        <v>437</v>
      </c>
      <c r="N39" s="1" t="e">
        <f ca="1">Inv_Elliptical((N24+Projectile!B47)/2,Projectile!F33,Projectile!F34,Projectile!F35,Projectile!F36,Projectile!F5)</f>
        <v>#NAME?</v>
      </c>
      <c r="O39" s="39" t="s">
        <v>2</v>
      </c>
      <c r="Q39" s="2" t="s">
        <v>460</v>
      </c>
      <c r="R39" s="99">
        <f>R15-Projectile!N5*R29</f>
        <v>-12.929473807779948</v>
      </c>
      <c r="S39" s="39" t="s">
        <v>2</v>
      </c>
      <c r="U39" s="2" t="s">
        <v>463</v>
      </c>
      <c r="V39" s="1" t="e">
        <f ca="1">Projectile!F37</f>
        <v>#NAME?</v>
      </c>
      <c r="W39" s="39" t="s">
        <v>2</v>
      </c>
      <c r="X39" s="2"/>
    </row>
    <row r="40" spans="1:24" x14ac:dyDescent="0.2">
      <c r="A40" s="32" t="s">
        <v>37</v>
      </c>
      <c r="E40" s="2" t="s">
        <v>276</v>
      </c>
      <c r="F40" s="102" t="e">
        <f ca="1">Inv_Elliptical(F51/2,Projectile!F33,Projectile!F34,Projectile!F35,Projectile!F36,Projectile!F5)</f>
        <v>#NAME?</v>
      </c>
      <c r="G40" s="39" t="s">
        <v>2</v>
      </c>
      <c r="I40" s="2" t="s">
        <v>300</v>
      </c>
      <c r="J40" s="1" t="e">
        <f ca="1">Projectile!J35</f>
        <v>#NAME?</v>
      </c>
      <c r="K40" s="39" t="s">
        <v>2</v>
      </c>
      <c r="M40" s="2" t="s">
        <v>318</v>
      </c>
      <c r="N40" s="1" t="e">
        <f ca="1">Projectile!J35+N39</f>
        <v>#NAME?</v>
      </c>
      <c r="O40" s="39" t="s">
        <v>2</v>
      </c>
      <c r="Q40" s="2" t="s">
        <v>459</v>
      </c>
      <c r="R40" s="99">
        <f>Projectile!N33</f>
        <v>-8.7747369038899734</v>
      </c>
      <c r="S40" s="39" t="s">
        <v>2</v>
      </c>
      <c r="U40" s="2" t="s">
        <v>477</v>
      </c>
      <c r="V40" s="1" t="e">
        <f ca="1">R42-1/3*Projectile!F1*V48</f>
        <v>#NAME?</v>
      </c>
      <c r="W40" s="39" t="s">
        <v>2</v>
      </c>
      <c r="X40" s="2"/>
    </row>
    <row r="41" spans="1:24" x14ac:dyDescent="0.2">
      <c r="A41" s="6" t="s">
        <v>35</v>
      </c>
      <c r="C41" s="39" t="s">
        <v>2</v>
      </c>
      <c r="E41" s="2" t="s">
        <v>282</v>
      </c>
      <c r="F41" s="102" t="e">
        <f ca="1">F40+Projectile!F5*F39</f>
        <v>#NAME?</v>
      </c>
      <c r="G41" s="39" t="s">
        <v>2</v>
      </c>
      <c r="I41" s="2" t="s">
        <v>301</v>
      </c>
      <c r="J41" s="1">
        <f>(Projectile!J38-J30)/2</f>
        <v>0.20000000000000018</v>
      </c>
      <c r="K41" s="39" t="s">
        <v>2</v>
      </c>
      <c r="M41" s="2" t="s">
        <v>316</v>
      </c>
      <c r="N41" s="1">
        <f>Projectile!N37</f>
        <v>4.1547369038899733</v>
      </c>
      <c r="O41" s="39" t="s">
        <v>2</v>
      </c>
      <c r="Q41" s="2" t="s">
        <v>463</v>
      </c>
      <c r="R41" s="99" t="e">
        <f ca="1">Projectile!F37</f>
        <v>#NAME?</v>
      </c>
      <c r="S41" s="39" t="s">
        <v>2</v>
      </c>
      <c r="U41" s="2" t="s">
        <v>478</v>
      </c>
      <c r="V41" s="1" t="e">
        <f ca="1">V40-2/3*Projectile!F1*V48</f>
        <v>#NAME?</v>
      </c>
      <c r="W41" s="39" t="s">
        <v>2</v>
      </c>
      <c r="X41" s="2"/>
    </row>
    <row r="42" spans="1:24" x14ac:dyDescent="0.2">
      <c r="A42" s="6" t="s">
        <v>104</v>
      </c>
      <c r="B42" s="1" t="e">
        <f ca="1">Projectile!B52</f>
        <v>#NAME?</v>
      </c>
      <c r="C42" s="39" t="s">
        <v>36</v>
      </c>
      <c r="E42" s="2" t="s">
        <v>453</v>
      </c>
      <c r="F42" s="177" t="e">
        <f ca="1">Inv_Elliptical(F52/2,Projectile!F33,Projectile!F34,Projectile!F35,Projectile!F36,Projectile!F5)</f>
        <v>#NAME?</v>
      </c>
      <c r="G42" s="39" t="s">
        <v>2</v>
      </c>
      <c r="I42" s="2" t="s">
        <v>303</v>
      </c>
      <c r="J42" s="1">
        <f>Projectile!J34</f>
        <v>-8.7747369038899734</v>
      </c>
      <c r="K42" s="39" t="s">
        <v>2</v>
      </c>
      <c r="M42" s="2" t="s">
        <v>430</v>
      </c>
      <c r="N42" s="1">
        <f>Projectile!N38</f>
        <v>3.7199999999999989</v>
      </c>
      <c r="O42" s="39" t="s">
        <v>2</v>
      </c>
      <c r="Q42" s="2" t="s">
        <v>453</v>
      </c>
      <c r="R42" s="99" t="e">
        <f ca="1">Inv_Elliptical(R55/2,Projectile!F33,Projectile!F34,Projectile!F35,Projectile!F36,Projectile!F5)</f>
        <v>#NAME?</v>
      </c>
      <c r="S42" s="39" t="s">
        <v>2</v>
      </c>
      <c r="U42" s="2" t="s">
        <v>73</v>
      </c>
      <c r="V42" s="1" t="e">
        <f ca="1">ABS(V39-V38)</f>
        <v>#NAME?</v>
      </c>
      <c r="W42" s="39" t="s">
        <v>2</v>
      </c>
      <c r="X42" s="2"/>
    </row>
    <row r="43" spans="1:24" x14ac:dyDescent="0.2">
      <c r="A43" s="2" t="s">
        <v>285</v>
      </c>
      <c r="B43" s="1" t="e">
        <f ca="1">Projectile!B57</f>
        <v>#NAME?</v>
      </c>
      <c r="C43" s="39" t="s">
        <v>87</v>
      </c>
      <c r="E43" s="2" t="s">
        <v>455</v>
      </c>
      <c r="F43" s="177" t="e">
        <f ca="1">F42+Projectile!F5*Projectile!B47*SIN(F54*PI()/180)</f>
        <v>#NAME?</v>
      </c>
      <c r="G43" s="39" t="s">
        <v>2</v>
      </c>
      <c r="I43" s="2" t="s">
        <v>302</v>
      </c>
      <c r="J43" s="1" t="e">
        <f ca="1">Projectile!J30</f>
        <v>#NAME?</v>
      </c>
      <c r="K43" s="39" t="s">
        <v>2</v>
      </c>
      <c r="M43" s="2" t="s">
        <v>431</v>
      </c>
      <c r="N43" s="1">
        <f>Projectile!N39</f>
        <v>0.43473690388997421</v>
      </c>
      <c r="O43" s="39" t="s">
        <v>2</v>
      </c>
      <c r="Q43" s="2" t="s">
        <v>455</v>
      </c>
      <c r="R43" s="99" t="e">
        <f ca="1">R42+Projectile!F5*Projectile!B47*SIN(R57*PI()/180)</f>
        <v>#NAME?</v>
      </c>
      <c r="S43" s="39" t="s">
        <v>2</v>
      </c>
      <c r="U43" s="2" t="s">
        <v>72</v>
      </c>
      <c r="V43" s="1" t="e">
        <f ca="1">ABS(V40-V39)</f>
        <v>#NAME?</v>
      </c>
      <c r="W43" s="39" t="s">
        <v>2</v>
      </c>
      <c r="X43" s="2"/>
    </row>
    <row r="44" spans="1:24" x14ac:dyDescent="0.2">
      <c r="E44" s="2" t="s">
        <v>456</v>
      </c>
      <c r="F44" s="177" t="e">
        <f ca="1">Projectile!F15</f>
        <v>#NAME?</v>
      </c>
      <c r="G44" s="39" t="s">
        <v>2</v>
      </c>
      <c r="I44" s="32" t="s">
        <v>37</v>
      </c>
      <c r="M44" s="2" t="s">
        <v>317</v>
      </c>
      <c r="N44" s="1">
        <f>Projectile!B9-3*Projectile!B47</f>
        <v>4.7</v>
      </c>
      <c r="O44" s="39" t="s">
        <v>2</v>
      </c>
      <c r="Q44" s="2" t="s">
        <v>456</v>
      </c>
      <c r="R44" s="99" t="e">
        <f ca="1">Projectile!F15</f>
        <v>#NAME?</v>
      </c>
      <c r="S44" s="39" t="s">
        <v>2</v>
      </c>
      <c r="U44" s="2" t="s">
        <v>481</v>
      </c>
      <c r="V44" s="1" t="e">
        <f ca="1">ABS(V40-V41)</f>
        <v>#NAME?</v>
      </c>
      <c r="W44" s="39" t="s">
        <v>2</v>
      </c>
      <c r="X44" s="2"/>
    </row>
    <row r="45" spans="1:24" x14ac:dyDescent="0.2">
      <c r="E45" s="2" t="s">
        <v>458</v>
      </c>
      <c r="F45" s="177" t="e">
        <f ca="1">R20</f>
        <v>#NAME?</v>
      </c>
      <c r="G45" s="39" t="s">
        <v>2</v>
      </c>
      <c r="I45" s="6" t="s">
        <v>35</v>
      </c>
      <c r="K45" s="39" t="s">
        <v>2</v>
      </c>
      <c r="M45" s="2" t="s">
        <v>434</v>
      </c>
      <c r="N45" s="1">
        <f>Projectile!N42</f>
        <v>4.2205054179497754</v>
      </c>
      <c r="O45" s="39" t="s">
        <v>2</v>
      </c>
      <c r="Q45" s="2" t="s">
        <v>458</v>
      </c>
      <c r="R45" s="99" t="e">
        <f ca="1">R20</f>
        <v>#NAME?</v>
      </c>
      <c r="S45" s="39" t="s">
        <v>2</v>
      </c>
      <c r="U45" s="2" t="s">
        <v>83</v>
      </c>
      <c r="V45" s="1" t="e">
        <f ca="1">V42+V43</f>
        <v>#NAME?</v>
      </c>
      <c r="W45" s="39" t="s">
        <v>2</v>
      </c>
      <c r="X45" s="2"/>
    </row>
    <row r="46" spans="1:24" x14ac:dyDescent="0.2">
      <c r="E46" s="2" t="s">
        <v>464</v>
      </c>
      <c r="F46" s="177" t="e">
        <f ca="1">ABS(F64-F42)</f>
        <v>#NAME?</v>
      </c>
      <c r="G46" s="39" t="s">
        <v>2</v>
      </c>
      <c r="I46" s="6" t="s">
        <v>104</v>
      </c>
      <c r="J46" s="1" t="e">
        <f ca="1">PI()/4000*(Projectile!J38*Projectile!J38-J30*J30)*J40+IF(J26&lt;&gt;J27,Vol_Elliptical(J26,Projectile!F38,Projectile!F33,Projectile!F34,Projectile!F35,Projectile!F36)+IF(Projectile!F32="Sharp",Vol_Elliptical(Projectile!F38,Projectile!F39,Projectile!F45,0,Projectile!F47,Projectile!F47),0)-Vol_Conical(J26,J27,J26,J21,J31,0,Projectile!F5),0)</f>
        <v>#NAME?</v>
      </c>
      <c r="K46" s="39" t="s">
        <v>36</v>
      </c>
      <c r="M46" s="2" t="s">
        <v>319</v>
      </c>
      <c r="N46" s="1">
        <f>Projectile!N43</f>
        <v>3.2376156952021544</v>
      </c>
      <c r="O46" s="39" t="s">
        <v>2</v>
      </c>
      <c r="Q46" s="2" t="s">
        <v>17</v>
      </c>
      <c r="R46" s="99">
        <f>ABS(R39-R40)</f>
        <v>4.1547369038899742</v>
      </c>
      <c r="S46" s="39" t="s">
        <v>2</v>
      </c>
      <c r="U46" s="2" t="s">
        <v>18</v>
      </c>
      <c r="V46" s="1">
        <f>Projectile!B9-2*Projectile!B47</f>
        <v>5.2</v>
      </c>
      <c r="W46" s="39" t="s">
        <v>2</v>
      </c>
      <c r="X46" s="2"/>
    </row>
    <row r="47" spans="1:24" x14ac:dyDescent="0.2">
      <c r="E47" s="2" t="s">
        <v>465</v>
      </c>
      <c r="F47" s="177" t="e">
        <f ca="1">ABS(F42-F43)</f>
        <v>#NAME?</v>
      </c>
      <c r="G47" s="39" t="s">
        <v>2</v>
      </c>
      <c r="I47" s="2" t="s">
        <v>285</v>
      </c>
      <c r="J47" s="1" t="e">
        <f ca="1">Projectile!B43*J46</f>
        <v>#NAME?</v>
      </c>
      <c r="K47" s="39" t="s">
        <v>87</v>
      </c>
      <c r="M47" s="32" t="s">
        <v>37</v>
      </c>
      <c r="Q47" s="2" t="s">
        <v>73</v>
      </c>
      <c r="R47" s="99" t="e">
        <f ca="1">ABS(R40-R41)</f>
        <v>#NAME?</v>
      </c>
      <c r="S47" s="39" t="s">
        <v>2</v>
      </c>
      <c r="U47" s="2" t="s">
        <v>293</v>
      </c>
      <c r="V47" s="1" t="e">
        <f ca="1">2*Elliptical(V40,Projectile!F33,Projectile!F34,Projectile!F35,Projectile!F36)</f>
        <v>#NAME?</v>
      </c>
      <c r="W47" s="39" t="s">
        <v>2</v>
      </c>
      <c r="X47" s="2"/>
    </row>
    <row r="48" spans="1:24" x14ac:dyDescent="0.2">
      <c r="E48" s="2" t="s">
        <v>466</v>
      </c>
      <c r="F48" s="177" t="e">
        <f ca="1">ABS(F44-F43)</f>
        <v>#NAME?</v>
      </c>
      <c r="G48" s="39" t="s">
        <v>2</v>
      </c>
      <c r="M48" s="6" t="s">
        <v>35</v>
      </c>
      <c r="O48" s="39" t="s">
        <v>2</v>
      </c>
      <c r="Q48" s="2" t="s">
        <v>464</v>
      </c>
      <c r="R48" s="99" t="e">
        <f ca="1">ABS(R41-R42)</f>
        <v>#NAME?</v>
      </c>
      <c r="S48" s="39" t="s">
        <v>2</v>
      </c>
      <c r="U48" s="2" t="s">
        <v>479</v>
      </c>
      <c r="V48" s="1">
        <f>R55</f>
        <v>1.7333333333333334</v>
      </c>
      <c r="W48" s="39" t="s">
        <v>2</v>
      </c>
      <c r="X48" s="2"/>
    </row>
    <row r="49" spans="5:24" x14ac:dyDescent="0.2">
      <c r="E49" s="2" t="s">
        <v>12</v>
      </c>
      <c r="F49" s="177" t="e">
        <f ca="1">F27</f>
        <v>#NAME?</v>
      </c>
      <c r="G49" s="39" t="s">
        <v>2</v>
      </c>
      <c r="I49" s="38" t="s">
        <v>38</v>
      </c>
      <c r="M49" s="6" t="s">
        <v>104</v>
      </c>
      <c r="N49" s="1" t="e">
        <f ca="1">Projectile!J48+Projectile!J24+Projectile!N46+Vol_Elliptical(N38,N39,Projectile!F33,Projectile!F34,Projectile!F35,Projectile!F36)-IF(Projectile!N13="Open",Vol_Conical(Projectile!N35,Projectile!N11,Projectile!N35,Projectile!N23,Projectile!N24,Projectile!N25,Projectile!N5))-PI()/4000*N24*N24*N40-IF(N19&gt;0,Vol_Conical(N20,N21,N20,N19,N24,N25,Projectile!N5),0)</f>
        <v>#NAME?</v>
      </c>
      <c r="O49" s="39" t="s">
        <v>36</v>
      </c>
      <c r="Q49" s="2" t="s">
        <v>465</v>
      </c>
      <c r="R49" s="99" t="e">
        <f ca="1">ABS(R42-R43)</f>
        <v>#NAME?</v>
      </c>
      <c r="S49" s="39" t="s">
        <v>2</v>
      </c>
      <c r="U49" s="2" t="s">
        <v>63</v>
      </c>
      <c r="V49" s="1" t="e">
        <f ca="1">PI()/4000*V42*V46*V46</f>
        <v>#NAME?</v>
      </c>
      <c r="W49" s="39" t="s">
        <v>36</v>
      </c>
      <c r="X49" s="2"/>
    </row>
    <row r="50" spans="5:24" x14ac:dyDescent="0.2">
      <c r="E50" s="2" t="s">
        <v>815</v>
      </c>
      <c r="F50" s="102" t="e">
        <f ca="1">ABS(F45-F40)</f>
        <v>#NAME?</v>
      </c>
      <c r="G50" s="39" t="s">
        <v>2</v>
      </c>
      <c r="I50" s="32" t="s">
        <v>37</v>
      </c>
      <c r="M50" s="2" t="s">
        <v>285</v>
      </c>
      <c r="N50" s="1" t="e">
        <f ca="1">N49*F1</f>
        <v>#NAME?</v>
      </c>
      <c r="O50" s="39" t="s">
        <v>87</v>
      </c>
      <c r="Q50" s="2" t="s">
        <v>466</v>
      </c>
      <c r="R50" s="99" t="e">
        <f ca="1">ABS(R44-R43)</f>
        <v>#NAME?</v>
      </c>
      <c r="S50" s="39" t="s">
        <v>2</v>
      </c>
      <c r="U50" s="2" t="s">
        <v>34</v>
      </c>
      <c r="V50" s="1" t="e">
        <f ca="1">Vol_Elliptical(V39,V40,Projectile!F33,Projectile!F34,Projectile!F35,Projectile!F36)</f>
        <v>#NAME?</v>
      </c>
      <c r="W50" s="39" t="s">
        <v>36</v>
      </c>
      <c r="X50" s="2"/>
    </row>
    <row r="51" spans="5:24" x14ac:dyDescent="0.2">
      <c r="E51" s="2" t="s">
        <v>204</v>
      </c>
      <c r="F51" s="102">
        <f>ROUNDDOWN(Projectile!J38-0.2,1)</f>
        <v>5</v>
      </c>
      <c r="G51" s="39" t="s">
        <v>2</v>
      </c>
      <c r="I51" s="2" t="s">
        <v>35</v>
      </c>
      <c r="K51" s="39" t="s">
        <v>2</v>
      </c>
      <c r="Q51" s="2" t="s">
        <v>12</v>
      </c>
      <c r="R51" s="99" t="e">
        <f ca="1">R27</f>
        <v>#NAME?</v>
      </c>
      <c r="S51" s="39" t="s">
        <v>2</v>
      </c>
      <c r="U51" s="2" t="s">
        <v>480</v>
      </c>
      <c r="V51" s="1" t="e">
        <f ca="1">PI()/4000*V44*V48*V48</f>
        <v>#NAME?</v>
      </c>
      <c r="W51" s="39" t="s">
        <v>36</v>
      </c>
      <c r="X51" s="2"/>
    </row>
    <row r="52" spans="5:24" x14ac:dyDescent="0.2">
      <c r="E52" s="2" t="s">
        <v>495</v>
      </c>
      <c r="F52" s="177">
        <f>IF(Projectile!F1&lt;=2,1-0.2/3*Projectile!F1,2/3)*F69</f>
        <v>3.4666666666666668</v>
      </c>
      <c r="G52" s="39" t="s">
        <v>2</v>
      </c>
      <c r="I52" s="2" t="s">
        <v>104</v>
      </c>
      <c r="J52" s="1" t="e">
        <f ca="1">Projectile!B52</f>
        <v>#NAME?</v>
      </c>
      <c r="K52" s="39" t="s">
        <v>36</v>
      </c>
      <c r="M52" s="38" t="s">
        <v>438</v>
      </c>
      <c r="Q52" s="2" t="s">
        <v>83</v>
      </c>
      <c r="R52" s="99" t="e">
        <f ca="1">R28-R29</f>
        <v>#NAME?</v>
      </c>
      <c r="S52" s="39" t="s">
        <v>2</v>
      </c>
      <c r="U52" s="32" t="s">
        <v>37</v>
      </c>
      <c r="V52" s="1"/>
      <c r="W52" s="39"/>
      <c r="X52" s="2"/>
    </row>
    <row r="53" spans="5:24" x14ac:dyDescent="0.2">
      <c r="E53" s="2" t="s">
        <v>496</v>
      </c>
      <c r="F53" s="177" t="e">
        <f ca="1">F52+2*Projectile!B47*COS(F54*PI()/180)</f>
        <v>#NAME?</v>
      </c>
      <c r="G53" s="39" t="s">
        <v>2</v>
      </c>
      <c r="I53" s="2" t="s">
        <v>285</v>
      </c>
      <c r="J53" s="1" t="e">
        <f ca="1">J52*B1</f>
        <v>#NAME?</v>
      </c>
      <c r="K53" s="39" t="s">
        <v>87</v>
      </c>
      <c r="M53" s="32" t="s">
        <v>37</v>
      </c>
      <c r="Q53" s="2" t="s">
        <v>423</v>
      </c>
      <c r="R53" s="99">
        <f>R54-2*R46*TAN(R33*PI()/180)</f>
        <v>4.1060370195687215</v>
      </c>
      <c r="S53" s="39" t="s">
        <v>2</v>
      </c>
      <c r="U53" s="2" t="s">
        <v>35</v>
      </c>
      <c r="V53" s="1"/>
      <c r="W53" s="39" t="s">
        <v>2</v>
      </c>
      <c r="X53" s="2"/>
    </row>
    <row r="54" spans="5:24" x14ac:dyDescent="0.2">
      <c r="E54" s="2" t="s">
        <v>454</v>
      </c>
      <c r="F54" s="177" t="e">
        <f ca="1">ABS(ATAN(Ddx_Elliptical(F42,Projectile!F33,Projectile!F35,Projectile!F36))*180/PI())</f>
        <v>#NAME?</v>
      </c>
      <c r="G54" s="39" t="s">
        <v>27</v>
      </c>
      <c r="M54" s="2" t="s">
        <v>35</v>
      </c>
      <c r="O54" s="39" t="s">
        <v>2</v>
      </c>
      <c r="Q54" s="2" t="s">
        <v>18</v>
      </c>
      <c r="R54" s="99">
        <f>Projectile!F43</f>
        <v>5.2</v>
      </c>
      <c r="S54" s="39" t="s">
        <v>2</v>
      </c>
      <c r="U54" s="2" t="s">
        <v>104</v>
      </c>
      <c r="V54" s="1" t="e">
        <f ca="1">V49+V50-V51</f>
        <v>#NAME?</v>
      </c>
      <c r="W54" s="39" t="s">
        <v>36</v>
      </c>
      <c r="X54" s="2"/>
    </row>
    <row r="55" spans="5:24" x14ac:dyDescent="0.2">
      <c r="E55" s="2" t="s">
        <v>283</v>
      </c>
      <c r="F55" s="102">
        <v>150</v>
      </c>
      <c r="G55" s="39" t="s">
        <v>27</v>
      </c>
      <c r="M55" s="2" t="s">
        <v>104</v>
      </c>
      <c r="N55" s="1" t="e">
        <f ca="1">IF(N22&lt;&gt;N23,Vol_Elliptical(N22,Projectile!F38,Projectile!F33,Projectile!F34,Projectile!F35,Projectile!F36)+IF(Projectile!F32="Sharp",Vol_Elliptical(Projectile!F38,Projectile!F39,Projectile!F45,0,Projectile!F47,Projectile!F47),0)-Vol_Conical(N22,N23,N22,N17,N24,0,Projectile!F5),0)</f>
        <v>#NAME?</v>
      </c>
      <c r="O55" s="39" t="s">
        <v>36</v>
      </c>
      <c r="Q55" s="2" t="s">
        <v>495</v>
      </c>
      <c r="R55" s="99">
        <f>IF(Projectile!F1&lt;=2,1-0.1/3*Projectile!F1,1/3)*R54</f>
        <v>1.7333333333333334</v>
      </c>
      <c r="S55" s="39" t="s">
        <v>2</v>
      </c>
      <c r="U55" s="32" t="s">
        <v>285</v>
      </c>
      <c r="V55" s="37" t="e">
        <f ca="1">Projectile!B43*V54</f>
        <v>#NAME?</v>
      </c>
      <c r="W55" s="83" t="s">
        <v>87</v>
      </c>
      <c r="X55" s="2"/>
    </row>
    <row r="56" spans="5:24" x14ac:dyDescent="0.2">
      <c r="E56" s="32" t="s">
        <v>37</v>
      </c>
      <c r="F56" s="102"/>
      <c r="M56" s="2" t="s">
        <v>285</v>
      </c>
      <c r="N56" s="1" t="e">
        <f ca="1">F1*N55</f>
        <v>#NAME?</v>
      </c>
      <c r="O56" s="39" t="s">
        <v>87</v>
      </c>
      <c r="Q56" s="2" t="s">
        <v>496</v>
      </c>
      <c r="R56" s="99" t="e">
        <f ca="1">R55+2*Projectile!B47*COS(R57*PI()/180)</f>
        <v>#NAME?</v>
      </c>
      <c r="S56" s="39" t="s">
        <v>2</v>
      </c>
      <c r="U56" s="2"/>
      <c r="V56" s="1"/>
      <c r="W56" s="39"/>
      <c r="X56" s="2"/>
    </row>
    <row r="57" spans="5:24" x14ac:dyDescent="0.2">
      <c r="E57" s="6" t="s">
        <v>35</v>
      </c>
      <c r="F57" s="102"/>
      <c r="G57" s="39" t="s">
        <v>2</v>
      </c>
      <c r="Q57" s="2" t="s">
        <v>454</v>
      </c>
      <c r="R57" s="99" t="e">
        <f ca="1">ABS(ATAN(Ddx_Elliptical(R42,Projectile!F33,Projectile!F35,Projectile!F36))*180/PI())</f>
        <v>#NAME?</v>
      </c>
      <c r="S57" s="39" t="s">
        <v>27</v>
      </c>
      <c r="U57" s="38" t="s">
        <v>482</v>
      </c>
      <c r="V57" s="1"/>
      <c r="W57" s="39"/>
      <c r="X57" s="2"/>
    </row>
    <row r="58" spans="5:24" x14ac:dyDescent="0.2">
      <c r="E58" s="2" t="s">
        <v>104</v>
      </c>
      <c r="F58" s="102" t="e">
        <f ca="1">Vol_Elliptical(F40,F42,Projectile!F33,Projectile!F34,Projectile!F35,Projectile!F36)+Vol_Conical(F42,F43,F42,F47,F52,F53,Projectile!F5)+Vol_Elliptical(F43,F44,Projectile!F11,Projectile!F12,Projectile!F13,Projectile!F14)+IF(Projectile!F9="Sharp",Vol_Elliptical(F44,F45,Projectile!F22,0,Projectile!F24,Projectile!F24),0)-Vol_Conical(F40,F41,F40,F39,F51,0,Projectile!F5)</f>
        <v>#NAME?</v>
      </c>
      <c r="G58" s="39" t="s">
        <v>36</v>
      </c>
      <c r="M58" s="38" t="s">
        <v>38</v>
      </c>
      <c r="Q58" s="2" t="s">
        <v>44</v>
      </c>
      <c r="R58" s="99" t="e">
        <f ca="1">Vol_Conical(R40,R39,R40,R46,R54,R53,Projectile!N5)</f>
        <v>#NAME?</v>
      </c>
      <c r="S58" s="39" t="s">
        <v>36</v>
      </c>
      <c r="U58" s="2" t="s">
        <v>483</v>
      </c>
      <c r="V58" s="1" t="e">
        <f ca="1">V40-1/3*Projectile!F1*V48</f>
        <v>#NAME?</v>
      </c>
      <c r="W58" s="39" t="s">
        <v>2</v>
      </c>
      <c r="X58" s="2"/>
    </row>
    <row r="59" spans="5:24" x14ac:dyDescent="0.2">
      <c r="E59" s="2" t="s">
        <v>285</v>
      </c>
      <c r="F59" s="102" t="e">
        <f ca="1">B1*F58</f>
        <v>#NAME?</v>
      </c>
      <c r="G59" s="39" t="s">
        <v>87</v>
      </c>
      <c r="M59" s="32" t="s">
        <v>37</v>
      </c>
      <c r="Q59" s="2" t="s">
        <v>63</v>
      </c>
      <c r="R59" s="99" t="e">
        <f ca="1">PI()/4000*R47*R54*R54</f>
        <v>#NAME?</v>
      </c>
      <c r="S59" s="39" t="s">
        <v>36</v>
      </c>
      <c r="U59" s="2" t="s">
        <v>484</v>
      </c>
      <c r="V59" s="1" t="e">
        <f ca="1">V40</f>
        <v>#NAME?</v>
      </c>
      <c r="W59" s="39" t="s">
        <v>2</v>
      </c>
      <c r="X59" s="2"/>
    </row>
    <row r="60" spans="5:24" x14ac:dyDescent="0.2">
      <c r="F60" s="102"/>
      <c r="M60" s="2" t="s">
        <v>35</v>
      </c>
      <c r="O60" s="39" t="s">
        <v>2</v>
      </c>
      <c r="Q60" s="2" t="s">
        <v>34</v>
      </c>
      <c r="R60" s="99" t="e">
        <f ca="1">Vol_Elliptical(R41,R42,Projectile!F33,Projectile!F34,Projectile!F35,Projectile!F36)+Vol_Conical(R42,R43,R42,R49,R55,R56,Projectile!F5)+Vol_Elliptical(R43,R44,Projectile!F11,Projectile!F12,Projectile!F13,Projectile!F14)+IF(Projectile!F9="Sharp",Vol_Elliptical(R44,R45,Projectile!F22,0,Projectile!F24,Projectile!F24),0)</f>
        <v>#NAME?</v>
      </c>
      <c r="S60" s="39" t="s">
        <v>36</v>
      </c>
      <c r="U60" s="2" t="s">
        <v>485</v>
      </c>
      <c r="V60" s="1" t="e">
        <f ca="1">R42</f>
        <v>#NAME?</v>
      </c>
      <c r="W60" s="39" t="s">
        <v>2</v>
      </c>
      <c r="X60" s="2"/>
    </row>
    <row r="61" spans="5:24" x14ac:dyDescent="0.2">
      <c r="E61" s="38" t="s">
        <v>284</v>
      </c>
      <c r="F61" s="102"/>
      <c r="M61" s="2" t="s">
        <v>104</v>
      </c>
      <c r="N61" s="1" t="e">
        <f ca="1">Projectile!B52</f>
        <v>#NAME?</v>
      </c>
      <c r="O61" s="39" t="s">
        <v>36</v>
      </c>
      <c r="Q61" s="32" t="s">
        <v>37</v>
      </c>
      <c r="R61" s="1"/>
      <c r="U61" s="2" t="s">
        <v>486</v>
      </c>
      <c r="V61" s="1" t="e">
        <f ca="1">R43</f>
        <v>#NAME?</v>
      </c>
      <c r="W61" s="39" t="s">
        <v>2</v>
      </c>
      <c r="X61" s="2"/>
    </row>
    <row r="62" spans="5:24" x14ac:dyDescent="0.2">
      <c r="E62" s="2" t="s">
        <v>460</v>
      </c>
      <c r="F62" s="177">
        <f>F15-Projectile!N5*F29</f>
        <v>-12.929473807779948</v>
      </c>
      <c r="G62" s="39" t="s">
        <v>2</v>
      </c>
      <c r="M62" s="2" t="s">
        <v>285</v>
      </c>
      <c r="N62" s="1" t="e">
        <f ca="1">Projectile!B57</f>
        <v>#NAME?</v>
      </c>
      <c r="O62" s="39" t="s">
        <v>87</v>
      </c>
      <c r="Q62" s="2" t="s">
        <v>35</v>
      </c>
      <c r="R62" s="1"/>
      <c r="S62" s="39" t="s">
        <v>2</v>
      </c>
      <c r="U62" s="2" t="s">
        <v>487</v>
      </c>
      <c r="V62" s="1" t="e">
        <f ca="1">V18</f>
        <v>#NAME?</v>
      </c>
      <c r="W62" s="39" t="s">
        <v>2</v>
      </c>
      <c r="X62" s="2"/>
    </row>
    <row r="63" spans="5:24" x14ac:dyDescent="0.2">
      <c r="E63" s="2" t="s">
        <v>459</v>
      </c>
      <c r="F63" s="177">
        <f>Projectile!N33</f>
        <v>-8.7747369038899734</v>
      </c>
      <c r="G63" s="39" t="s">
        <v>2</v>
      </c>
      <c r="Q63" s="2" t="s">
        <v>104</v>
      </c>
      <c r="R63" s="1" t="e">
        <f ca="1">R58+R59+R60</f>
        <v>#NAME?</v>
      </c>
      <c r="S63" s="39" t="s">
        <v>36</v>
      </c>
      <c r="U63" s="2" t="s">
        <v>488</v>
      </c>
      <c r="V63" s="1" t="e">
        <f ca="1">V19</f>
        <v>#NAME?</v>
      </c>
      <c r="W63" s="39" t="s">
        <v>2</v>
      </c>
      <c r="X63" s="2"/>
    </row>
    <row r="64" spans="5:24" x14ac:dyDescent="0.2">
      <c r="E64" s="2" t="s">
        <v>463</v>
      </c>
      <c r="F64" s="177" t="e">
        <f ca="1">Projectile!F37</f>
        <v>#NAME?</v>
      </c>
      <c r="G64" s="39" t="s">
        <v>2</v>
      </c>
      <c r="Q64" s="32" t="s">
        <v>285</v>
      </c>
      <c r="R64" s="37" t="e">
        <f ca="1">Projectile!B43*R63</f>
        <v>#NAME?</v>
      </c>
      <c r="S64" s="83" t="s">
        <v>87</v>
      </c>
      <c r="U64" s="2" t="s">
        <v>489</v>
      </c>
      <c r="V64" s="1" t="e">
        <f ca="1">ABS(V59-V58)</f>
        <v>#NAME?</v>
      </c>
      <c r="W64" s="39" t="s">
        <v>2</v>
      </c>
      <c r="X64" s="2"/>
    </row>
    <row r="65" spans="5:24" x14ac:dyDescent="0.2">
      <c r="E65" s="2" t="s">
        <v>17</v>
      </c>
      <c r="F65" s="99">
        <f>ABS(F62-F63)</f>
        <v>4.1547369038899742</v>
      </c>
      <c r="G65" s="39" t="s">
        <v>2</v>
      </c>
      <c r="R65" s="1"/>
      <c r="U65" s="2" t="s">
        <v>490</v>
      </c>
      <c r="V65" s="1" t="e">
        <f ca="1">ABS(V60-V59)</f>
        <v>#NAME?</v>
      </c>
      <c r="W65" s="39" t="s">
        <v>2</v>
      </c>
      <c r="X65" s="2"/>
    </row>
    <row r="66" spans="5:24" x14ac:dyDescent="0.2">
      <c r="E66" s="2" t="s">
        <v>73</v>
      </c>
      <c r="F66" s="99" t="e">
        <f ca="1">ABS(F63-F64)</f>
        <v>#NAME?</v>
      </c>
      <c r="G66" s="39" t="s">
        <v>2</v>
      </c>
      <c r="Q66" s="38" t="s">
        <v>38</v>
      </c>
      <c r="R66" s="1"/>
      <c r="U66" s="2" t="s">
        <v>491</v>
      </c>
      <c r="V66" s="1" t="e">
        <f ca="1">ABS(V61-V60)</f>
        <v>#NAME?</v>
      </c>
      <c r="W66" s="39" t="s">
        <v>2</v>
      </c>
      <c r="X66" s="2"/>
    </row>
    <row r="67" spans="5:24" x14ac:dyDescent="0.2">
      <c r="E67" s="2" t="s">
        <v>814</v>
      </c>
      <c r="F67" s="177" t="e">
        <f ca="1">ABS(F15-F41)-F29</f>
        <v>#NAME?</v>
      </c>
      <c r="G67" s="39" t="s">
        <v>2</v>
      </c>
      <c r="Q67" s="2" t="s">
        <v>467</v>
      </c>
      <c r="R67" s="1"/>
      <c r="S67" s="39" t="s">
        <v>2</v>
      </c>
      <c r="U67" s="2" t="s">
        <v>275</v>
      </c>
      <c r="V67" s="1" t="e">
        <f ca="1">ABS(V62-V61)</f>
        <v>#NAME?</v>
      </c>
      <c r="W67" s="39" t="s">
        <v>2</v>
      </c>
      <c r="X67" s="2"/>
    </row>
    <row r="68" spans="5:24" x14ac:dyDescent="0.2">
      <c r="E68" s="2" t="s">
        <v>423</v>
      </c>
      <c r="F68" s="99">
        <f>F69-2*F65*TAN(F33*PI()/180)</f>
        <v>4.1060370195687215</v>
      </c>
      <c r="G68" s="39" t="s">
        <v>2</v>
      </c>
      <c r="Q68" s="2" t="s">
        <v>468</v>
      </c>
      <c r="R68" s="1"/>
      <c r="S68" s="39" t="s">
        <v>2</v>
      </c>
      <c r="U68" s="2" t="s">
        <v>12</v>
      </c>
      <c r="V68" s="1" t="e">
        <f ca="1">V63-V62</f>
        <v>#NAME?</v>
      </c>
      <c r="W68" s="39" t="s">
        <v>2</v>
      </c>
      <c r="X68" s="2"/>
    </row>
    <row r="69" spans="5:24" x14ac:dyDescent="0.2">
      <c r="E69" s="2" t="s">
        <v>18</v>
      </c>
      <c r="F69" s="177">
        <f>Projectile!F43</f>
        <v>5.2</v>
      </c>
      <c r="G69" s="39" t="s">
        <v>2</v>
      </c>
      <c r="Q69" s="2" t="s">
        <v>469</v>
      </c>
      <c r="R69" s="1"/>
      <c r="S69" s="39" t="s">
        <v>2</v>
      </c>
      <c r="U69" s="2" t="s">
        <v>492</v>
      </c>
      <c r="V69" s="1" t="e">
        <f ca="1">V64+V65+V66+V67+V68</f>
        <v>#NAME?</v>
      </c>
      <c r="W69" s="39" t="s">
        <v>2</v>
      </c>
      <c r="X69" s="2"/>
    </row>
    <row r="70" spans="5:24" x14ac:dyDescent="0.2">
      <c r="E70" s="2" t="s">
        <v>44</v>
      </c>
      <c r="F70" s="177" t="e">
        <f ca="1">Vol_Conical(F63,F62,F63,F65,F69,F68,Projectile!N5)</f>
        <v>#NAME?</v>
      </c>
      <c r="G70" s="39" t="s">
        <v>36</v>
      </c>
      <c r="Q70" s="2" t="s">
        <v>44</v>
      </c>
      <c r="R70" s="1" t="e">
        <f ca="1">R34-R58</f>
        <v>#NAME?</v>
      </c>
      <c r="S70" s="39" t="s">
        <v>36</v>
      </c>
      <c r="U70" s="2" t="s">
        <v>493</v>
      </c>
      <c r="V70" s="1">
        <f>V48</f>
        <v>1.7333333333333334</v>
      </c>
      <c r="W70" s="39" t="s">
        <v>2</v>
      </c>
      <c r="X70" s="2"/>
    </row>
    <row r="71" spans="5:24" x14ac:dyDescent="0.2">
      <c r="E71" s="2" t="s">
        <v>63</v>
      </c>
      <c r="F71" s="177" t="e">
        <f ca="1">Projectile!J48</f>
        <v>#NAME?</v>
      </c>
      <c r="G71" s="39" t="s">
        <v>36</v>
      </c>
      <c r="Q71" s="2" t="s">
        <v>63</v>
      </c>
      <c r="R71" s="1" t="e">
        <f ca="1">R35-R59</f>
        <v>#NAME?</v>
      </c>
      <c r="S71" s="39" t="s">
        <v>36</v>
      </c>
      <c r="U71" s="2" t="s">
        <v>494</v>
      </c>
      <c r="V71" s="1" t="e">
        <f ca="1">V47</f>
        <v>#NAME?</v>
      </c>
      <c r="W71" s="39" t="s">
        <v>2</v>
      </c>
      <c r="X71" s="2"/>
    </row>
    <row r="72" spans="5:24" x14ac:dyDescent="0.2">
      <c r="E72" s="2" t="s">
        <v>34</v>
      </c>
      <c r="F72" s="177" t="e">
        <f ca="1">Vol_Elliptical(F64,F40,Projectile!F33,Projectile!F34,Projectile!F35,Projectile!F36)+Vol_Conical(F40,F41,F40,F39,F51,0,Projectile!F5)</f>
        <v>#NAME?</v>
      </c>
      <c r="G72" s="39" t="s">
        <v>36</v>
      </c>
      <c r="Q72" s="2" t="s">
        <v>34</v>
      </c>
      <c r="R72" s="1" t="e">
        <f ca="1">R36-R60</f>
        <v>#NAME?</v>
      </c>
      <c r="S72" s="39" t="s">
        <v>36</v>
      </c>
      <c r="U72" s="2" t="s">
        <v>495</v>
      </c>
      <c r="V72" s="1">
        <f>R55</f>
        <v>1.7333333333333334</v>
      </c>
      <c r="W72" s="39" t="s">
        <v>2</v>
      </c>
      <c r="X72" s="2"/>
    </row>
    <row r="73" spans="5:24" x14ac:dyDescent="0.2">
      <c r="E73" s="32" t="s">
        <v>37</v>
      </c>
      <c r="F73" s="102"/>
      <c r="Q73" s="32" t="s">
        <v>37</v>
      </c>
      <c r="R73" s="1"/>
      <c r="U73" s="2" t="s">
        <v>496</v>
      </c>
      <c r="V73" s="1" t="e">
        <f ca="1">R56</f>
        <v>#NAME?</v>
      </c>
      <c r="W73" s="39" t="s">
        <v>2</v>
      </c>
      <c r="X73" s="2"/>
    </row>
    <row r="74" spans="5:24" x14ac:dyDescent="0.2">
      <c r="E74" s="6" t="s">
        <v>35</v>
      </c>
      <c r="F74" s="102"/>
      <c r="G74" s="39" t="s">
        <v>2</v>
      </c>
      <c r="Q74" s="2" t="s">
        <v>35</v>
      </c>
      <c r="R74" s="1"/>
      <c r="S74" s="39" t="s">
        <v>2</v>
      </c>
      <c r="U74" s="2" t="s">
        <v>497</v>
      </c>
      <c r="V74" s="1" t="e">
        <f ca="1">V29</f>
        <v>#NAME?</v>
      </c>
      <c r="W74" s="39" t="s">
        <v>2</v>
      </c>
      <c r="X74" s="2"/>
    </row>
    <row r="75" spans="5:24" x14ac:dyDescent="0.2">
      <c r="E75" s="6" t="s">
        <v>104</v>
      </c>
      <c r="F75" s="102" t="e">
        <f ca="1">F70+F71+F72</f>
        <v>#NAME?</v>
      </c>
      <c r="G75" s="39" t="s">
        <v>36</v>
      </c>
      <c r="Q75" s="2" t="s">
        <v>104</v>
      </c>
      <c r="R75" s="1" t="e">
        <f ca="1">R70+R71+R72</f>
        <v>#NAME?</v>
      </c>
      <c r="S75" s="39" t="s">
        <v>36</v>
      </c>
      <c r="U75" s="32" t="s">
        <v>37</v>
      </c>
      <c r="V75" s="1"/>
      <c r="W75" s="39"/>
      <c r="X75" s="2"/>
    </row>
    <row r="76" spans="5:24" x14ac:dyDescent="0.2">
      <c r="E76" s="2" t="s">
        <v>285</v>
      </c>
      <c r="F76" s="102" t="e">
        <f ca="1">Projectile!B43*F75</f>
        <v>#NAME?</v>
      </c>
      <c r="G76" s="39" t="s">
        <v>87</v>
      </c>
      <c r="Q76" s="32" t="s">
        <v>285</v>
      </c>
      <c r="R76" s="37" t="e">
        <f ca="1">Projectile!B56*R75</f>
        <v>#NAME?</v>
      </c>
      <c r="S76" s="83" t="s">
        <v>87</v>
      </c>
      <c r="U76" s="2" t="s">
        <v>35</v>
      </c>
      <c r="V76" s="1"/>
      <c r="W76" s="39" t="s">
        <v>2</v>
      </c>
      <c r="X76" s="2"/>
    </row>
    <row r="77" spans="5:24" x14ac:dyDescent="0.2">
      <c r="F77" s="102"/>
      <c r="R77" s="1"/>
      <c r="U77" s="2" t="s">
        <v>104</v>
      </c>
      <c r="V77" s="1" t="e">
        <f ca="1">PI()/4000*V65*V70*V70+Vol_Conical(V59,V60,V59,V65,V71,V72,Projectile!F5)+Vol_Conical(V60,V61,V60,V66,V72,V73,Projectile!F5)+Vol_Elliptical(V61,V62,Projectile!F11,Projectile!F12,Projectile!F13,Projectile!F14)+IF(Projectile!F9="Sharp",Vol_Elliptical(V62,V63,Projectile!F22,0,Projectile!F24,Projectile!F24),0)</f>
        <v>#NAME?</v>
      </c>
      <c r="W77" s="39" t="s">
        <v>36</v>
      </c>
      <c r="X77" s="2"/>
    </row>
    <row r="78" spans="5:24" x14ac:dyDescent="0.2">
      <c r="E78" s="38" t="s">
        <v>38</v>
      </c>
      <c r="F78" s="102"/>
      <c r="R78" s="1"/>
      <c r="U78" s="32" t="s">
        <v>285</v>
      </c>
      <c r="V78" s="37" t="e">
        <f ca="1">F2*V77</f>
        <v>#NAME?</v>
      </c>
      <c r="W78" s="83" t="s">
        <v>87</v>
      </c>
      <c r="X78" s="2"/>
    </row>
    <row r="79" spans="5:24" x14ac:dyDescent="0.2">
      <c r="E79" s="2" t="s">
        <v>467</v>
      </c>
      <c r="F79" s="102"/>
      <c r="G79" s="39" t="s">
        <v>2</v>
      </c>
      <c r="R79" s="1"/>
      <c r="U79" s="2"/>
      <c r="V79" s="1"/>
      <c r="W79" s="39"/>
      <c r="X79" s="2"/>
    </row>
    <row r="80" spans="5:24" x14ac:dyDescent="0.2">
      <c r="E80" s="2" t="s">
        <v>468</v>
      </c>
      <c r="F80" s="102"/>
      <c r="G80" s="39" t="s">
        <v>2</v>
      </c>
      <c r="R80" s="1"/>
      <c r="U80" s="38" t="s">
        <v>38</v>
      </c>
      <c r="V80" s="1"/>
      <c r="W80" s="39"/>
      <c r="X80" s="2"/>
    </row>
    <row r="81" spans="5:24" x14ac:dyDescent="0.2">
      <c r="E81" s="2" t="s">
        <v>469</v>
      </c>
      <c r="F81" s="102"/>
      <c r="G81" s="39" t="s">
        <v>2</v>
      </c>
      <c r="R81" s="1"/>
      <c r="U81" s="2" t="s">
        <v>467</v>
      </c>
      <c r="V81" s="1"/>
      <c r="W81" s="39" t="s">
        <v>2</v>
      </c>
      <c r="X81" s="2"/>
    </row>
    <row r="82" spans="5:24" x14ac:dyDescent="0.2">
      <c r="E82" s="2" t="s">
        <v>44</v>
      </c>
      <c r="F82" s="102" t="e">
        <f ca="1">F34-F70</f>
        <v>#NAME?</v>
      </c>
      <c r="G82" s="39" t="s">
        <v>36</v>
      </c>
      <c r="R82" s="1"/>
      <c r="U82" s="2" t="s">
        <v>468</v>
      </c>
      <c r="V82" s="1"/>
      <c r="W82" s="39" t="s">
        <v>2</v>
      </c>
      <c r="X82" s="2"/>
    </row>
    <row r="83" spans="5:24" x14ac:dyDescent="0.2">
      <c r="E83" s="2" t="s">
        <v>63</v>
      </c>
      <c r="F83" s="102" t="e">
        <f ca="1">F35-F71</f>
        <v>#NAME?</v>
      </c>
      <c r="G83" s="39" t="s">
        <v>36</v>
      </c>
      <c r="R83" s="1"/>
      <c r="U83" s="2" t="s">
        <v>469</v>
      </c>
      <c r="V83" s="1"/>
      <c r="W83" s="39" t="s">
        <v>2</v>
      </c>
      <c r="X83" s="2"/>
    </row>
    <row r="84" spans="5:24" x14ac:dyDescent="0.2">
      <c r="E84" s="2" t="s">
        <v>34</v>
      </c>
      <c r="F84" s="102" t="e">
        <f ca="1">F36-F72-F58</f>
        <v>#NAME?</v>
      </c>
      <c r="G84" s="39" t="s">
        <v>36</v>
      </c>
      <c r="R84" s="1"/>
      <c r="U84" s="2" t="s">
        <v>44</v>
      </c>
      <c r="V84" s="1" t="e">
        <f ca="1">V30</f>
        <v>#NAME?</v>
      </c>
      <c r="W84" s="39" t="s">
        <v>36</v>
      </c>
      <c r="X84" s="2"/>
    </row>
    <row r="85" spans="5:24" x14ac:dyDescent="0.2">
      <c r="E85" s="32" t="s">
        <v>37</v>
      </c>
      <c r="F85" s="102"/>
      <c r="R85" s="1"/>
      <c r="U85" s="2" t="s">
        <v>63</v>
      </c>
      <c r="V85" s="1" t="e">
        <f ca="1">V31-V49</f>
        <v>#NAME?</v>
      </c>
      <c r="W85" s="39" t="s">
        <v>36</v>
      </c>
      <c r="X85" s="2"/>
    </row>
    <row r="86" spans="5:24" x14ac:dyDescent="0.2">
      <c r="E86" s="2" t="s">
        <v>35</v>
      </c>
      <c r="F86" s="102"/>
      <c r="G86" s="39" t="s">
        <v>2</v>
      </c>
      <c r="R86" s="1"/>
      <c r="U86" s="2" t="s">
        <v>34</v>
      </c>
      <c r="V86" s="1" t="e">
        <f ca="1">R72</f>
        <v>#NAME?</v>
      </c>
      <c r="W86" s="39" t="s">
        <v>36</v>
      </c>
      <c r="X86" s="2"/>
    </row>
    <row r="87" spans="5:24" x14ac:dyDescent="0.2">
      <c r="E87" s="2" t="s">
        <v>104</v>
      </c>
      <c r="F87" s="102" t="e">
        <f ca="1">F82+F83+F84</f>
        <v>#NAME?</v>
      </c>
      <c r="G87" s="39" t="s">
        <v>36</v>
      </c>
      <c r="R87" s="1"/>
      <c r="U87" s="32" t="s">
        <v>37</v>
      </c>
      <c r="V87" s="1"/>
      <c r="W87" s="39"/>
      <c r="X87" s="2"/>
    </row>
    <row r="88" spans="5:24" x14ac:dyDescent="0.2">
      <c r="E88" s="32" t="s">
        <v>285</v>
      </c>
      <c r="F88" s="102" t="e">
        <f ca="1">Projectile!B56*F87</f>
        <v>#NAME?</v>
      </c>
      <c r="G88" s="83" t="s">
        <v>87</v>
      </c>
      <c r="R88" s="1"/>
      <c r="U88" s="2" t="s">
        <v>35</v>
      </c>
      <c r="V88" s="1"/>
      <c r="W88" s="39" t="s">
        <v>2</v>
      </c>
      <c r="X88" s="2"/>
    </row>
    <row r="89" spans="5:24" x14ac:dyDescent="0.2">
      <c r="R89" s="1"/>
      <c r="U89" s="2" t="s">
        <v>104</v>
      </c>
      <c r="V89" s="1" t="e">
        <f ca="1">V84+V85+V86</f>
        <v>#NAME?</v>
      </c>
      <c r="W89" s="39" t="s">
        <v>36</v>
      </c>
      <c r="X89" s="2"/>
    </row>
    <row r="90" spans="5:24" x14ac:dyDescent="0.2">
      <c r="R90" s="1"/>
      <c r="U90" s="32" t="s">
        <v>285</v>
      </c>
      <c r="V90" s="37" t="e">
        <f ca="1">Projectile!B56*V89</f>
        <v>#NAME?</v>
      </c>
      <c r="W90" s="83" t="s">
        <v>87</v>
      </c>
      <c r="X90" s="2"/>
    </row>
  </sheetData>
  <phoneticPr fontId="8" type="noConversion"/>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T77"/>
  <sheetViews>
    <sheetView workbookViewId="0">
      <pane ySplit="2" topLeftCell="A3" activePane="bottomLeft" state="frozen"/>
      <selection pane="bottomLeft" activeCell="E31" sqref="E31"/>
    </sheetView>
  </sheetViews>
  <sheetFormatPr defaultRowHeight="12.75" x14ac:dyDescent="0.2"/>
  <cols>
    <col min="1" max="1" width="22.7109375" style="115" customWidth="1"/>
    <col min="2" max="2" width="8.7109375" style="114" customWidth="1"/>
    <col min="3" max="4" width="5.7109375" style="112" customWidth="1"/>
    <col min="5" max="5" width="22.7109375" style="113" customWidth="1"/>
    <col min="6" max="6" width="8.7109375" style="114" customWidth="1"/>
    <col min="7" max="8" width="5.7109375" style="112" customWidth="1"/>
    <col min="9" max="9" width="22.7109375" style="115" customWidth="1"/>
    <col min="10" max="10" width="8.7109375" style="114" customWidth="1"/>
    <col min="11" max="12" width="5.7109375" style="112" customWidth="1"/>
    <col min="13" max="13" width="22.7109375" style="115" customWidth="1"/>
    <col min="14" max="14" width="8.7109375" style="114" customWidth="1"/>
    <col min="15" max="16" width="5.7109375" style="112" customWidth="1"/>
    <col min="17" max="17" width="22.7109375" style="115" customWidth="1"/>
    <col min="18" max="18" width="8.7109375" style="114" customWidth="1"/>
    <col min="19" max="20" width="5.7109375" style="112" customWidth="1"/>
    <col min="21" max="16384" width="9.140625" style="90"/>
  </cols>
  <sheetData>
    <row r="1" spans="1:15" x14ac:dyDescent="0.2">
      <c r="A1" s="115" t="s">
        <v>540</v>
      </c>
      <c r="B1" s="114">
        <v>10.757</v>
      </c>
      <c r="C1" s="112" t="s">
        <v>74</v>
      </c>
    </row>
    <row r="4" spans="1:15" x14ac:dyDescent="0.2">
      <c r="A4" s="110" t="s">
        <v>522</v>
      </c>
      <c r="B4" s="111" t="s">
        <v>521</v>
      </c>
      <c r="C4" s="118" t="s">
        <v>529</v>
      </c>
      <c r="E4" s="115" t="s">
        <v>530</v>
      </c>
      <c r="F4" s="111" t="s">
        <v>532</v>
      </c>
      <c r="G4" s="120" t="s">
        <v>531</v>
      </c>
      <c r="I4" s="110" t="s">
        <v>527</v>
      </c>
      <c r="J4" s="111" t="s">
        <v>528</v>
      </c>
      <c r="K4" s="119" t="s">
        <v>451</v>
      </c>
      <c r="M4" s="115" t="s">
        <v>533</v>
      </c>
      <c r="N4" s="111" t="s">
        <v>534</v>
      </c>
      <c r="O4" s="119" t="s">
        <v>451</v>
      </c>
    </row>
    <row r="5" spans="1:15" x14ac:dyDescent="0.2">
      <c r="E5" s="115"/>
      <c r="I5" s="113"/>
    </row>
    <row r="6" spans="1:15" x14ac:dyDescent="0.2">
      <c r="A6" s="17" t="s">
        <v>82</v>
      </c>
      <c r="E6" s="17" t="s">
        <v>82</v>
      </c>
      <c r="I6" s="17" t="s">
        <v>82</v>
      </c>
      <c r="M6" s="17" t="s">
        <v>82</v>
      </c>
    </row>
    <row r="7" spans="1:15" x14ac:dyDescent="0.2">
      <c r="A7" s="6" t="s">
        <v>91</v>
      </c>
      <c r="C7" s="15" t="s">
        <v>2</v>
      </c>
      <c r="E7" s="6" t="s">
        <v>91</v>
      </c>
      <c r="G7" s="15" t="s">
        <v>2</v>
      </c>
      <c r="I7" s="6" t="s">
        <v>91</v>
      </c>
      <c r="K7" s="15" t="s">
        <v>2</v>
      </c>
      <c r="M7" s="6" t="s">
        <v>91</v>
      </c>
      <c r="O7" s="15" t="s">
        <v>2</v>
      </c>
    </row>
    <row r="8" spans="1:15" x14ac:dyDescent="0.2">
      <c r="A8" s="6" t="s">
        <v>462</v>
      </c>
      <c r="B8" s="114" t="e">
        <f ca="1">B39+B40+B41</f>
        <v>#NAME?</v>
      </c>
      <c r="C8" s="15" t="s">
        <v>36</v>
      </c>
      <c r="E8" s="6" t="s">
        <v>462</v>
      </c>
      <c r="F8" s="114" t="e">
        <f ca="1">F42+F43+F44-F45</f>
        <v>#NAME?</v>
      </c>
      <c r="G8" s="15" t="s">
        <v>36</v>
      </c>
      <c r="I8" s="6" t="s">
        <v>462</v>
      </c>
      <c r="J8" s="114" t="e">
        <f ca="1">J40+J41+J42</f>
        <v>#NAME?</v>
      </c>
      <c r="K8" s="15" t="s">
        <v>36</v>
      </c>
      <c r="M8" s="6" t="s">
        <v>462</v>
      </c>
      <c r="N8" s="114" t="e">
        <f ca="1">N39+N40+N41</f>
        <v>#NAME?</v>
      </c>
      <c r="O8" s="15" t="s">
        <v>36</v>
      </c>
    </row>
    <row r="9" spans="1:15" x14ac:dyDescent="0.2">
      <c r="A9" s="6" t="s">
        <v>94</v>
      </c>
      <c r="B9" s="114" t="e">
        <f ca="1">B11/B8</f>
        <v>#NAME?</v>
      </c>
      <c r="C9" s="15" t="s">
        <v>74</v>
      </c>
      <c r="E9" s="6" t="s">
        <v>94</v>
      </c>
      <c r="F9" s="114" t="e">
        <f ca="1">F11/F8</f>
        <v>#NAME?</v>
      </c>
      <c r="G9" s="15" t="s">
        <v>74</v>
      </c>
      <c r="I9" s="6" t="s">
        <v>94</v>
      </c>
      <c r="J9" s="114" t="e">
        <f ca="1">J11/J8</f>
        <v>#NAME?</v>
      </c>
      <c r="K9" s="15" t="s">
        <v>74</v>
      </c>
      <c r="M9" s="6" t="s">
        <v>94</v>
      </c>
      <c r="N9" s="114" t="e">
        <f ca="1">N11/N8</f>
        <v>#NAME?</v>
      </c>
      <c r="O9" s="15" t="s">
        <v>74</v>
      </c>
    </row>
    <row r="10" spans="1:15" x14ac:dyDescent="0.2">
      <c r="A10" s="6" t="s">
        <v>231</v>
      </c>
      <c r="B10" s="114" t="e">
        <f ca="1">400*B11/(PI()*POWER(Projectile!B9,2))</f>
        <v>#NAME?</v>
      </c>
      <c r="C10" s="15" t="s">
        <v>232</v>
      </c>
      <c r="E10" s="6" t="s">
        <v>231</v>
      </c>
      <c r="F10" s="114" t="e">
        <f ca="1">400*F11/(PI()*POWER(Projectile!B9,2))</f>
        <v>#NAME?</v>
      </c>
      <c r="G10" s="15" t="s">
        <v>232</v>
      </c>
      <c r="I10" s="6" t="s">
        <v>231</v>
      </c>
      <c r="J10" s="114" t="e">
        <f ca="1">400*J11/(PI()*POWER(Projectile!B9,2))</f>
        <v>#NAME?</v>
      </c>
      <c r="K10" s="15" t="s">
        <v>232</v>
      </c>
      <c r="M10" s="6" t="s">
        <v>231</v>
      </c>
      <c r="N10" s="114" t="e">
        <f ca="1">400*N11/(PI()*POWER(Projectile!B9,2))</f>
        <v>#NAME?</v>
      </c>
      <c r="O10" s="15" t="s">
        <v>232</v>
      </c>
    </row>
    <row r="11" spans="1:15" x14ac:dyDescent="0.2">
      <c r="A11" s="4" t="s">
        <v>90</v>
      </c>
      <c r="B11" s="114" t="e">
        <f ca="1">B60+B69</f>
        <v>#NAME?</v>
      </c>
      <c r="C11" s="19" t="s">
        <v>87</v>
      </c>
      <c r="E11" s="4" t="s">
        <v>90</v>
      </c>
      <c r="F11" s="114" t="e">
        <f ca="1">F63+F72</f>
        <v>#NAME?</v>
      </c>
      <c r="G11" s="19" t="s">
        <v>87</v>
      </c>
      <c r="I11" s="4" t="s">
        <v>90</v>
      </c>
      <c r="J11" s="114" t="e">
        <f ca="1">J68+J77</f>
        <v>#NAME?</v>
      </c>
      <c r="K11" s="19" t="s">
        <v>87</v>
      </c>
      <c r="M11" s="4" t="s">
        <v>90</v>
      </c>
      <c r="N11" s="114" t="e">
        <f ca="1">N8*B1</f>
        <v>#NAME?</v>
      </c>
      <c r="O11" s="19" t="s">
        <v>87</v>
      </c>
    </row>
    <row r="12" spans="1:15" x14ac:dyDescent="0.2">
      <c r="B12" s="114" t="e">
        <f ca="1">B11/0.06479891</f>
        <v>#NAME?</v>
      </c>
      <c r="C12" s="39" t="s">
        <v>93</v>
      </c>
      <c r="E12" s="115"/>
      <c r="F12" s="114" t="e">
        <f ca="1">F11/0.06479891</f>
        <v>#NAME?</v>
      </c>
      <c r="G12" s="39" t="s">
        <v>93</v>
      </c>
      <c r="I12" s="113"/>
      <c r="J12" s="114" t="e">
        <f ca="1">J11/0.06479891</f>
        <v>#NAME?</v>
      </c>
      <c r="K12" s="39" t="s">
        <v>93</v>
      </c>
      <c r="N12" s="114" t="e">
        <f ca="1">N11/0.06479891</f>
        <v>#NAME?</v>
      </c>
      <c r="O12" s="39" t="s">
        <v>93</v>
      </c>
    </row>
    <row r="13" spans="1:15" x14ac:dyDescent="0.2">
      <c r="A13" s="38" t="s">
        <v>30</v>
      </c>
      <c r="E13" s="38" t="s">
        <v>30</v>
      </c>
      <c r="I13" s="38" t="s">
        <v>30</v>
      </c>
      <c r="M13" s="38" t="s">
        <v>30</v>
      </c>
    </row>
    <row r="14" spans="1:15" x14ac:dyDescent="0.2">
      <c r="A14" s="2" t="s">
        <v>461</v>
      </c>
      <c r="B14" s="114" t="e">
        <f ca="1">Projectile!N11</f>
        <v>#NAME?</v>
      </c>
      <c r="C14" s="39" t="s">
        <v>2</v>
      </c>
      <c r="E14" s="2" t="s">
        <v>461</v>
      </c>
      <c r="F14" s="114">
        <f>Common_Projectiles!R15</f>
        <v>-13.429473807779948</v>
      </c>
      <c r="G14" s="112" t="s">
        <v>2</v>
      </c>
      <c r="I14" s="2" t="s">
        <v>461</v>
      </c>
      <c r="J14" s="114">
        <f>Common_Projectiles!R15</f>
        <v>-13.429473807779948</v>
      </c>
      <c r="K14" s="112" t="s">
        <v>2</v>
      </c>
      <c r="M14" s="2" t="s">
        <v>461</v>
      </c>
      <c r="N14" s="114">
        <f>Common_Projectiles!R15</f>
        <v>-13.429473807779948</v>
      </c>
      <c r="O14" s="112" t="s">
        <v>2</v>
      </c>
    </row>
    <row r="15" spans="1:15" x14ac:dyDescent="0.2">
      <c r="A15" s="2" t="s">
        <v>460</v>
      </c>
      <c r="B15" s="114">
        <f>Projectile!N10</f>
        <v>-12.559999999999999</v>
      </c>
      <c r="C15" s="39" t="s">
        <v>2</v>
      </c>
      <c r="E15" s="2" t="s">
        <v>460</v>
      </c>
      <c r="F15" s="114">
        <f>Common_Projectiles!R16</f>
        <v>-12.994736903889974</v>
      </c>
      <c r="G15" s="112" t="s">
        <v>2</v>
      </c>
      <c r="I15" s="115" t="s">
        <v>460</v>
      </c>
      <c r="J15" s="114">
        <f>Common_Projectiles!R16</f>
        <v>-12.994736903889974</v>
      </c>
      <c r="K15" s="112" t="s">
        <v>2</v>
      </c>
      <c r="M15" s="2" t="s">
        <v>460</v>
      </c>
      <c r="N15" s="114">
        <f>Common_Projectiles!R16</f>
        <v>-12.994736903889974</v>
      </c>
      <c r="O15" s="112" t="s">
        <v>2</v>
      </c>
    </row>
    <row r="16" spans="1:15" x14ac:dyDescent="0.2">
      <c r="A16" s="2" t="s">
        <v>459</v>
      </c>
      <c r="B16" s="114">
        <f>Projectile!N9</f>
        <v>-8.84</v>
      </c>
      <c r="C16" s="39" t="s">
        <v>2</v>
      </c>
      <c r="E16" s="2" t="s">
        <v>459</v>
      </c>
      <c r="F16" s="114">
        <f>Common_Projectiles!R17</f>
        <v>-8.84</v>
      </c>
      <c r="G16" s="112" t="s">
        <v>2</v>
      </c>
      <c r="I16" s="115" t="s">
        <v>459</v>
      </c>
      <c r="J16" s="114">
        <f>Common_Projectiles!R17</f>
        <v>-8.84</v>
      </c>
      <c r="K16" s="112" t="s">
        <v>2</v>
      </c>
      <c r="M16" s="2" t="s">
        <v>459</v>
      </c>
      <c r="N16" s="114">
        <f>Common_Projectiles!R17</f>
        <v>-8.84</v>
      </c>
      <c r="O16" s="112" t="s">
        <v>2</v>
      </c>
    </row>
    <row r="17" spans="1:15" x14ac:dyDescent="0.2">
      <c r="A17" s="2" t="s">
        <v>457</v>
      </c>
      <c r="B17" s="114">
        <f>Projectile!F6</f>
        <v>0</v>
      </c>
      <c r="C17" s="39" t="s">
        <v>2</v>
      </c>
      <c r="E17" s="2" t="s">
        <v>457</v>
      </c>
      <c r="F17" s="114">
        <f>Projectile!F6</f>
        <v>0</v>
      </c>
      <c r="G17" s="112" t="s">
        <v>2</v>
      </c>
      <c r="I17" s="115" t="s">
        <v>457</v>
      </c>
      <c r="J17" s="114">
        <f>Projectile!F6</f>
        <v>0</v>
      </c>
      <c r="K17" s="112" t="s">
        <v>2</v>
      </c>
      <c r="M17" s="2" t="s">
        <v>457</v>
      </c>
      <c r="N17" s="114">
        <f>Projectile!F6</f>
        <v>0</v>
      </c>
      <c r="O17" s="112" t="s">
        <v>2</v>
      </c>
    </row>
    <row r="18" spans="1:15" x14ac:dyDescent="0.2">
      <c r="A18" s="2" t="s">
        <v>514</v>
      </c>
      <c r="B18" s="114" t="e">
        <f ca="1">B19-Projectile!F5*B25</f>
        <v>#NAME?</v>
      </c>
      <c r="C18" s="39" t="s">
        <v>2</v>
      </c>
      <c r="E18" s="115" t="s">
        <v>539</v>
      </c>
      <c r="F18" s="114" t="e">
        <f ca="1">F20-Projectile!F5*F37</f>
        <v>#NAME?</v>
      </c>
      <c r="G18" s="112" t="s">
        <v>2</v>
      </c>
      <c r="M18" s="115" t="s">
        <v>514</v>
      </c>
      <c r="N18" s="114" t="e">
        <f ca="1">B18</f>
        <v>#NAME?</v>
      </c>
      <c r="O18" s="112" t="s">
        <v>2</v>
      </c>
    </row>
    <row r="19" spans="1:15" x14ac:dyDescent="0.2">
      <c r="A19" s="2" t="s">
        <v>515</v>
      </c>
      <c r="B19" s="114" t="e">
        <f ca="1">Projectile!F16</f>
        <v>#NAME?</v>
      </c>
      <c r="C19" s="39" t="s">
        <v>2</v>
      </c>
      <c r="E19" s="115" t="s">
        <v>514</v>
      </c>
      <c r="F19" s="114" t="e">
        <f ca="1">B18</f>
        <v>#NAME?</v>
      </c>
      <c r="G19" s="112" t="s">
        <v>2</v>
      </c>
      <c r="I19" s="115" t="s">
        <v>514</v>
      </c>
      <c r="J19" s="114" t="e">
        <f ca="1">B18</f>
        <v>#NAME?</v>
      </c>
      <c r="K19" s="112" t="s">
        <v>2</v>
      </c>
      <c r="M19" s="115" t="s">
        <v>515</v>
      </c>
      <c r="N19" s="114" t="e">
        <f ca="1">Projectile!F16</f>
        <v>#NAME?</v>
      </c>
      <c r="O19" s="112" t="s">
        <v>2</v>
      </c>
    </row>
    <row r="20" spans="1:15" x14ac:dyDescent="0.2">
      <c r="A20" s="2" t="s">
        <v>39</v>
      </c>
      <c r="B20" s="114">
        <f>Projectile!N20</f>
        <v>-12.429473807779948</v>
      </c>
      <c r="C20" s="39" t="s">
        <v>2</v>
      </c>
      <c r="E20" s="115" t="s">
        <v>515</v>
      </c>
      <c r="F20" s="114" t="e">
        <f ca="1">Projectile!F16</f>
        <v>#NAME?</v>
      </c>
      <c r="G20" s="112" t="s">
        <v>2</v>
      </c>
      <c r="I20" s="115" t="s">
        <v>515</v>
      </c>
      <c r="J20" s="114" t="e">
        <f ca="1">Projectile!F16</f>
        <v>#NAME?</v>
      </c>
      <c r="K20" s="112" t="s">
        <v>2</v>
      </c>
      <c r="M20" s="2" t="s">
        <v>39</v>
      </c>
      <c r="N20" s="114">
        <f>Common_Projectiles!R21</f>
        <v>-12.929473807779948</v>
      </c>
      <c r="O20" s="112" t="s">
        <v>2</v>
      </c>
    </row>
    <row r="21" spans="1:15" x14ac:dyDescent="0.2">
      <c r="A21" s="2" t="s">
        <v>40</v>
      </c>
      <c r="B21" s="114">
        <f>Projectile!N21</f>
        <v>1.6188078476010772</v>
      </c>
      <c r="C21" s="39" t="s">
        <v>2</v>
      </c>
      <c r="E21" s="2" t="s">
        <v>39</v>
      </c>
      <c r="F21" s="114">
        <f>Common_Projectiles!R21</f>
        <v>-12.929473807779948</v>
      </c>
      <c r="G21" s="112" t="s">
        <v>2</v>
      </c>
      <c r="I21" s="2" t="s">
        <v>39</v>
      </c>
      <c r="J21" s="114">
        <f>Common_Projectiles!R21</f>
        <v>-12.929473807779948</v>
      </c>
      <c r="K21" s="112" t="s">
        <v>2</v>
      </c>
      <c r="M21" s="2" t="s">
        <v>40</v>
      </c>
      <c r="N21" s="114">
        <f>Common_Projectiles!R22</f>
        <v>2.0572960790974557</v>
      </c>
      <c r="O21" s="112" t="s">
        <v>2</v>
      </c>
    </row>
    <row r="22" spans="1:15" x14ac:dyDescent="0.2">
      <c r="A22" s="2" t="s">
        <v>20</v>
      </c>
      <c r="B22" s="114" t="e">
        <f ca="1">Projectile!N16</f>
        <v>#NAME?</v>
      </c>
      <c r="C22" s="39" t="s">
        <v>2</v>
      </c>
      <c r="E22" s="2" t="s">
        <v>40</v>
      </c>
      <c r="F22" s="114">
        <f>Common_Projectiles!R22</f>
        <v>2.0572960790974557</v>
      </c>
      <c r="G22" s="112" t="s">
        <v>2</v>
      </c>
      <c r="I22" s="2" t="s">
        <v>40</v>
      </c>
      <c r="J22" s="114">
        <f>Common_Projectiles!R22</f>
        <v>2.0572960790974557</v>
      </c>
      <c r="K22" s="112" t="s">
        <v>2</v>
      </c>
      <c r="M22" s="115" t="s">
        <v>20</v>
      </c>
      <c r="N22" s="114">
        <f>Common_Projectiles!R23</f>
        <v>0.43473690388997355</v>
      </c>
      <c r="O22" s="112" t="s">
        <v>2</v>
      </c>
    </row>
    <row r="23" spans="1:15" x14ac:dyDescent="0.2">
      <c r="A23" s="2" t="s">
        <v>518</v>
      </c>
      <c r="B23" s="114" t="e">
        <f ca="1">B19-Projectile!F5*B31</f>
        <v>#NAME?</v>
      </c>
      <c r="C23" s="39" t="s">
        <v>2</v>
      </c>
      <c r="E23" s="115" t="s">
        <v>20</v>
      </c>
      <c r="F23" s="114">
        <f>Common_Projectiles!R23</f>
        <v>0.43473690388997355</v>
      </c>
      <c r="G23" s="112" t="s">
        <v>2</v>
      </c>
      <c r="I23" s="115" t="s">
        <v>20</v>
      </c>
      <c r="J23" s="114">
        <f>Common_Projectiles!R23</f>
        <v>0.43473690388997355</v>
      </c>
      <c r="K23" s="112" t="s">
        <v>2</v>
      </c>
      <c r="M23" s="2" t="s">
        <v>518</v>
      </c>
      <c r="N23" s="114" t="e">
        <f ca="1">B23</f>
        <v>#NAME?</v>
      </c>
      <c r="O23" s="112" t="s">
        <v>2</v>
      </c>
    </row>
    <row r="24" spans="1:15" x14ac:dyDescent="0.2">
      <c r="A24" s="2" t="s">
        <v>519</v>
      </c>
      <c r="B24" s="114" t="e">
        <f ca="1">Projectile!B9/2-Projectile!F5*(B23-B17)*TAN(B37*PI()/180)-B31/COS(B37*PI()/180)</f>
        <v>#NAME?</v>
      </c>
      <c r="C24" s="39" t="s">
        <v>2</v>
      </c>
      <c r="E24" s="2" t="s">
        <v>518</v>
      </c>
      <c r="F24" s="114" t="e">
        <f ca="1">B23</f>
        <v>#NAME?</v>
      </c>
      <c r="G24" s="112" t="s">
        <v>2</v>
      </c>
      <c r="I24" s="2" t="s">
        <v>518</v>
      </c>
      <c r="J24" s="114" t="e">
        <f ca="1">B23</f>
        <v>#NAME?</v>
      </c>
      <c r="K24" s="112" t="s">
        <v>2</v>
      </c>
      <c r="M24" s="2" t="s">
        <v>519</v>
      </c>
      <c r="N24" s="114" t="e">
        <f ca="1">B24</f>
        <v>#NAME?</v>
      </c>
      <c r="O24" s="112" t="s">
        <v>2</v>
      </c>
    </row>
    <row r="25" spans="1:15" x14ac:dyDescent="0.2">
      <c r="A25" s="2" t="s">
        <v>12</v>
      </c>
      <c r="B25" s="114" t="e">
        <f ca="1">B31*(1-SIN(B37*PI()/180))</f>
        <v>#NAME?</v>
      </c>
      <c r="C25" s="39" t="s">
        <v>2</v>
      </c>
      <c r="E25" s="2" t="s">
        <v>519</v>
      </c>
      <c r="F25" s="114" t="e">
        <f ca="1">B24</f>
        <v>#NAME?</v>
      </c>
      <c r="G25" s="112" t="s">
        <v>2</v>
      </c>
      <c r="I25" s="2" t="s">
        <v>519</v>
      </c>
      <c r="J25" s="114" t="e">
        <f ca="1">B24</f>
        <v>#NAME?</v>
      </c>
      <c r="K25" s="112" t="s">
        <v>2</v>
      </c>
      <c r="M25" s="115" t="s">
        <v>12</v>
      </c>
      <c r="N25" s="114" t="e">
        <f ca="1">B25</f>
        <v>#NAME?</v>
      </c>
      <c r="O25" s="112" t="s">
        <v>2</v>
      </c>
    </row>
    <row r="26" spans="1:15" x14ac:dyDescent="0.2">
      <c r="A26" s="2" t="s">
        <v>428</v>
      </c>
      <c r="B26" s="114">
        <f>Projectile!N15</f>
        <v>3.7199999999999998</v>
      </c>
      <c r="C26" s="39" t="s">
        <v>2</v>
      </c>
      <c r="E26" s="115" t="s">
        <v>12</v>
      </c>
      <c r="F26" s="114" t="e">
        <f ca="1">B25</f>
        <v>#NAME?</v>
      </c>
      <c r="G26" s="112" t="s">
        <v>2</v>
      </c>
      <c r="I26" s="115" t="s">
        <v>12</v>
      </c>
      <c r="J26" s="114" t="e">
        <f ca="1">B25</f>
        <v>#NAME?</v>
      </c>
      <c r="K26" s="112" t="s">
        <v>2</v>
      </c>
      <c r="M26" s="115" t="s">
        <v>428</v>
      </c>
      <c r="N26" s="114">
        <f>Common_Projectiles!R24</f>
        <v>4.1547369038899742</v>
      </c>
      <c r="O26" s="112" t="s">
        <v>2</v>
      </c>
    </row>
    <row r="27" spans="1:15" x14ac:dyDescent="0.2">
      <c r="A27" s="2" t="s">
        <v>73</v>
      </c>
      <c r="B27" s="114">
        <f>Projectile!J15</f>
        <v>8.84</v>
      </c>
      <c r="C27" s="39" t="s">
        <v>2</v>
      </c>
      <c r="E27" s="115" t="s">
        <v>428</v>
      </c>
      <c r="F27" s="114">
        <f>Common_Projectiles!R24</f>
        <v>4.1547369038899742</v>
      </c>
      <c r="G27" s="112" t="s">
        <v>2</v>
      </c>
      <c r="I27" s="115" t="s">
        <v>428</v>
      </c>
      <c r="J27" s="114">
        <f>Common_Projectiles!R24</f>
        <v>4.1547369038899742</v>
      </c>
      <c r="K27" s="112" t="s">
        <v>2</v>
      </c>
      <c r="M27" s="115" t="s">
        <v>73</v>
      </c>
      <c r="N27" s="114">
        <f>Projectile!J15</f>
        <v>8.84</v>
      </c>
      <c r="O27" s="112" t="s">
        <v>2</v>
      </c>
    </row>
    <row r="28" spans="1:15" x14ac:dyDescent="0.2">
      <c r="A28" s="2" t="s">
        <v>516</v>
      </c>
      <c r="B28" s="114" t="e">
        <f ca="1">Projectile!F5*(B18-B17)</f>
        <v>#NAME?</v>
      </c>
      <c r="C28" s="39" t="s">
        <v>2</v>
      </c>
      <c r="E28" s="115" t="s">
        <v>73</v>
      </c>
      <c r="F28" s="114">
        <f>Projectile!J15</f>
        <v>8.84</v>
      </c>
      <c r="G28" s="112" t="s">
        <v>2</v>
      </c>
      <c r="I28" s="115" t="s">
        <v>73</v>
      </c>
      <c r="J28" s="114">
        <f>Projectile!J15</f>
        <v>8.84</v>
      </c>
      <c r="K28" s="112" t="s">
        <v>2</v>
      </c>
      <c r="M28" s="2" t="s">
        <v>516</v>
      </c>
      <c r="N28" s="114" t="e">
        <f ca="1">B28</f>
        <v>#NAME?</v>
      </c>
      <c r="O28" s="112" t="s">
        <v>2</v>
      </c>
    </row>
    <row r="29" spans="1:15" x14ac:dyDescent="0.2">
      <c r="A29" s="2" t="s">
        <v>190</v>
      </c>
      <c r="B29" s="114" t="e">
        <f ca="1">Projectile!B17</f>
        <v>#NAME?</v>
      </c>
      <c r="C29" s="39" t="s">
        <v>2</v>
      </c>
      <c r="E29" s="2" t="s">
        <v>516</v>
      </c>
      <c r="F29" s="114" t="e">
        <f ca="1">B28</f>
        <v>#NAME?</v>
      </c>
      <c r="G29" s="112" t="s">
        <v>2</v>
      </c>
      <c r="I29" s="2" t="s">
        <v>516</v>
      </c>
      <c r="J29" s="114" t="e">
        <f ca="1">B28</f>
        <v>#NAME?</v>
      </c>
      <c r="K29" s="112" t="s">
        <v>2</v>
      </c>
      <c r="M29" s="2" t="s">
        <v>190</v>
      </c>
      <c r="N29" s="114" t="e">
        <f ca="1">F30</f>
        <v>#NAME?</v>
      </c>
      <c r="O29" s="112" t="s">
        <v>2</v>
      </c>
    </row>
    <row r="30" spans="1:15" x14ac:dyDescent="0.2">
      <c r="A30" s="2" t="s">
        <v>517</v>
      </c>
      <c r="B30" s="114">
        <f>Projectile!N22</f>
        <v>1</v>
      </c>
      <c r="C30" s="39" t="s">
        <v>2</v>
      </c>
      <c r="E30" s="2" t="s">
        <v>190</v>
      </c>
      <c r="F30" s="114" t="e">
        <f ca="1">F23+F26+F27+F28+F29</f>
        <v>#NAME?</v>
      </c>
      <c r="G30" s="112" t="s">
        <v>2</v>
      </c>
      <c r="I30" s="2" t="s">
        <v>190</v>
      </c>
      <c r="J30" s="114" t="e">
        <f ca="1">F30</f>
        <v>#NAME?</v>
      </c>
      <c r="K30" s="112" t="s">
        <v>2</v>
      </c>
      <c r="M30" s="2" t="s">
        <v>517</v>
      </c>
      <c r="N30" s="114">
        <f>Common_Projectiles!R29</f>
        <v>0.5</v>
      </c>
      <c r="O30" s="112" t="s">
        <v>2</v>
      </c>
    </row>
    <row r="31" spans="1:15" x14ac:dyDescent="0.2">
      <c r="A31" s="2" t="s">
        <v>11</v>
      </c>
      <c r="B31" s="114">
        <f>Projectile!B47</f>
        <v>0.5</v>
      </c>
      <c r="C31" s="39" t="s">
        <v>2</v>
      </c>
      <c r="E31" s="2" t="s">
        <v>517</v>
      </c>
      <c r="F31" s="114">
        <f>Common_Projectiles!R29</f>
        <v>0.5</v>
      </c>
      <c r="G31" s="112" t="s">
        <v>2</v>
      </c>
      <c r="I31" s="2" t="s">
        <v>517</v>
      </c>
      <c r="J31" s="114">
        <f>Common_Projectiles!R29</f>
        <v>0.5</v>
      </c>
      <c r="K31" s="112" t="s">
        <v>2</v>
      </c>
      <c r="M31" s="2" t="s">
        <v>11</v>
      </c>
      <c r="N31" s="114">
        <f>B31</f>
        <v>0.5</v>
      </c>
      <c r="O31" s="112" t="s">
        <v>2</v>
      </c>
    </row>
    <row r="32" spans="1:15" x14ac:dyDescent="0.2">
      <c r="A32" s="2" t="s">
        <v>423</v>
      </c>
      <c r="B32" s="114" t="e">
        <f ca="1">Projectile!N19</f>
        <v>#NAME?</v>
      </c>
      <c r="C32" s="39" t="s">
        <v>2</v>
      </c>
      <c r="E32" s="2" t="s">
        <v>11</v>
      </c>
      <c r="F32" s="114">
        <f>B31</f>
        <v>0.5</v>
      </c>
      <c r="G32" s="112" t="s">
        <v>2</v>
      </c>
      <c r="I32" s="2" t="s">
        <v>11</v>
      </c>
      <c r="J32" s="114">
        <f>B31</f>
        <v>0.5</v>
      </c>
      <c r="K32" s="112" t="s">
        <v>2</v>
      </c>
      <c r="M32" s="2" t="s">
        <v>423</v>
      </c>
      <c r="N32" s="114">
        <f>Common_Projectiles!R30</f>
        <v>4.1145921581949114</v>
      </c>
      <c r="O32" s="112" t="s">
        <v>2</v>
      </c>
    </row>
    <row r="33" spans="1:15" x14ac:dyDescent="0.2">
      <c r="A33" s="2" t="s">
        <v>422</v>
      </c>
      <c r="B33" s="114">
        <f>Projectile!N18</f>
        <v>5.2205054179497754</v>
      </c>
      <c r="C33" s="39" t="s">
        <v>2</v>
      </c>
      <c r="E33" s="2" t="s">
        <v>423</v>
      </c>
      <c r="F33" s="114">
        <f>Common_Projectiles!R30</f>
        <v>4.1145921581949114</v>
      </c>
      <c r="G33" s="112" t="s">
        <v>2</v>
      </c>
      <c r="I33" s="2" t="s">
        <v>423</v>
      </c>
      <c r="J33" s="114">
        <f>Common_Projectiles!R30</f>
        <v>4.1145921581949114</v>
      </c>
      <c r="K33" s="112" t="s">
        <v>2</v>
      </c>
      <c r="M33" s="115" t="s">
        <v>422</v>
      </c>
      <c r="N33" s="114">
        <f>Common_Projectiles!R31</f>
        <v>5.1060370195687215</v>
      </c>
      <c r="O33" s="112" t="s">
        <v>2</v>
      </c>
    </row>
    <row r="34" spans="1:15" x14ac:dyDescent="0.2">
      <c r="A34" s="2" t="s">
        <v>520</v>
      </c>
      <c r="B34" s="114" t="e">
        <f ca="1">Projectile!B9-2*B28*SIN(B37*PI()/180)</f>
        <v>#NAME?</v>
      </c>
      <c r="C34" s="39" t="s">
        <v>2</v>
      </c>
      <c r="E34" s="115" t="s">
        <v>422</v>
      </c>
      <c r="F34" s="114">
        <f>Common_Projectiles!R31</f>
        <v>5.1060370195687215</v>
      </c>
      <c r="G34" s="112" t="s">
        <v>2</v>
      </c>
      <c r="I34" s="115" t="s">
        <v>422</v>
      </c>
      <c r="J34" s="114">
        <f>Common_Projectiles!R31</f>
        <v>5.1060370195687215</v>
      </c>
      <c r="K34" s="112" t="s">
        <v>2</v>
      </c>
      <c r="M34" s="2" t="s">
        <v>520</v>
      </c>
      <c r="N34" s="114" t="e">
        <f ca="1">B34</f>
        <v>#NAME?</v>
      </c>
      <c r="O34" s="112" t="s">
        <v>2</v>
      </c>
    </row>
    <row r="35" spans="1:15" x14ac:dyDescent="0.2">
      <c r="A35" s="2" t="s">
        <v>524</v>
      </c>
      <c r="B35" s="114">
        <f>2*B21</f>
        <v>3.2376156952021544</v>
      </c>
      <c r="C35" s="39" t="s">
        <v>2</v>
      </c>
      <c r="E35" s="2" t="s">
        <v>520</v>
      </c>
      <c r="F35" s="114" t="e">
        <f ca="1">B34</f>
        <v>#NAME?</v>
      </c>
      <c r="G35" s="112" t="s">
        <v>2</v>
      </c>
      <c r="I35" s="2" t="s">
        <v>520</v>
      </c>
      <c r="J35" s="114" t="e">
        <f ca="1">B34</f>
        <v>#NAME?</v>
      </c>
      <c r="K35" s="112" t="s">
        <v>2</v>
      </c>
      <c r="M35" s="2" t="s">
        <v>524</v>
      </c>
      <c r="N35" s="114">
        <f>B35</f>
        <v>3.2376156952021544</v>
      </c>
      <c r="O35" s="112" t="s">
        <v>2</v>
      </c>
    </row>
    <row r="36" spans="1:15" x14ac:dyDescent="0.2">
      <c r="A36" s="2" t="s">
        <v>323</v>
      </c>
      <c r="B36" s="114">
        <f>Projectile!N12</f>
        <v>7.5</v>
      </c>
      <c r="C36" s="39" t="s">
        <v>27</v>
      </c>
      <c r="E36" s="2" t="s">
        <v>537</v>
      </c>
      <c r="F36" s="114" t="e">
        <f ca="1">F56</f>
        <v>#NAME?</v>
      </c>
      <c r="G36" s="112" t="s">
        <v>2</v>
      </c>
      <c r="I36" s="2" t="s">
        <v>524</v>
      </c>
      <c r="J36" s="114">
        <f>B35</f>
        <v>3.2376156952021544</v>
      </c>
      <c r="K36" s="112" t="s">
        <v>2</v>
      </c>
      <c r="M36" s="2" t="s">
        <v>323</v>
      </c>
      <c r="N36" s="114">
        <f>Projectile!N12</f>
        <v>7.5</v>
      </c>
      <c r="O36" s="112" t="s">
        <v>27</v>
      </c>
    </row>
    <row r="37" spans="1:15" x14ac:dyDescent="0.2">
      <c r="A37" s="2" t="s">
        <v>513</v>
      </c>
      <c r="B37" s="114" t="e">
        <f ca="1">ROUNDUP(Barrel!B22,1)</f>
        <v>#NAME?</v>
      </c>
      <c r="C37" s="116" t="s">
        <v>27</v>
      </c>
      <c r="E37" s="115" t="s">
        <v>481</v>
      </c>
      <c r="F37" s="114" t="e">
        <f ca="1">F36/2/TAN(F40*PI()/360)</f>
        <v>#NAME?</v>
      </c>
      <c r="G37" s="112" t="s">
        <v>2</v>
      </c>
      <c r="I37" s="2" t="s">
        <v>323</v>
      </c>
      <c r="J37" s="114">
        <f>Projectile!N12</f>
        <v>7.5</v>
      </c>
      <c r="K37" s="112" t="s">
        <v>27</v>
      </c>
      <c r="M37" s="2" t="s">
        <v>513</v>
      </c>
      <c r="N37" s="114" t="e">
        <f ca="1">B37</f>
        <v>#NAME?</v>
      </c>
      <c r="O37" s="112" t="s">
        <v>27</v>
      </c>
    </row>
    <row r="38" spans="1:15" x14ac:dyDescent="0.2">
      <c r="A38" s="2" t="s">
        <v>525</v>
      </c>
      <c r="B38" s="114">
        <f>100*POWER(B27/Projectile!B9,2)</f>
        <v>203.29240374609782</v>
      </c>
      <c r="C38" s="116" t="s">
        <v>228</v>
      </c>
      <c r="E38" s="2" t="s">
        <v>323</v>
      </c>
      <c r="F38" s="114">
        <f>Projectile!N12</f>
        <v>7.5</v>
      </c>
      <c r="G38" s="112" t="s">
        <v>27</v>
      </c>
      <c r="I38" s="2" t="s">
        <v>513</v>
      </c>
      <c r="J38" s="114" t="e">
        <f ca="1">B37</f>
        <v>#NAME?</v>
      </c>
      <c r="K38" s="112" t="s">
        <v>27</v>
      </c>
      <c r="M38" s="2" t="s">
        <v>525</v>
      </c>
      <c r="N38" s="114">
        <f>B38</f>
        <v>203.29240374609782</v>
      </c>
      <c r="O38" s="116" t="s">
        <v>228</v>
      </c>
    </row>
    <row r="39" spans="1:15" x14ac:dyDescent="0.2">
      <c r="A39" s="2" t="s">
        <v>44</v>
      </c>
      <c r="B39" s="114" t="e">
        <f ca="1">Projectile!N30</f>
        <v>#NAME?</v>
      </c>
      <c r="C39" s="39" t="s">
        <v>36</v>
      </c>
      <c r="E39" s="2" t="s">
        <v>513</v>
      </c>
      <c r="F39" s="114" t="e">
        <f ca="1">B37</f>
        <v>#NAME?</v>
      </c>
      <c r="G39" s="112" t="s">
        <v>27</v>
      </c>
      <c r="I39" s="2" t="s">
        <v>525</v>
      </c>
      <c r="J39" s="114">
        <f>B38</f>
        <v>203.29240374609782</v>
      </c>
      <c r="K39" s="112" t="s">
        <v>228</v>
      </c>
      <c r="M39" s="2" t="s">
        <v>44</v>
      </c>
      <c r="N39" s="114" t="e">
        <f ca="1">Common_Projectiles!R34</f>
        <v>#NAME?</v>
      </c>
      <c r="O39" s="39" t="s">
        <v>36</v>
      </c>
    </row>
    <row r="40" spans="1:15" x14ac:dyDescent="0.2">
      <c r="A40" s="2" t="s">
        <v>63</v>
      </c>
      <c r="B40" s="114" t="e">
        <f ca="1">Projectile!J27</f>
        <v>#NAME?</v>
      </c>
      <c r="C40" s="39" t="s">
        <v>36</v>
      </c>
      <c r="E40" s="115" t="s">
        <v>283</v>
      </c>
      <c r="F40" s="114" t="e">
        <f ca="1">90-2*F39</f>
        <v>#NAME?</v>
      </c>
      <c r="G40" s="112" t="s">
        <v>27</v>
      </c>
      <c r="I40" s="2" t="s">
        <v>44</v>
      </c>
      <c r="J40" s="114" t="e">
        <f ca="1">F42</f>
        <v>#NAME?</v>
      </c>
      <c r="K40" s="39" t="s">
        <v>36</v>
      </c>
      <c r="M40" s="2" t="s">
        <v>63</v>
      </c>
      <c r="N40" s="114" t="e">
        <f ca="1">B40</f>
        <v>#NAME?</v>
      </c>
      <c r="O40" s="39" t="s">
        <v>36</v>
      </c>
    </row>
    <row r="41" spans="1:15" x14ac:dyDescent="0.2">
      <c r="A41" s="2" t="s">
        <v>34</v>
      </c>
      <c r="B41" s="114" t="e">
        <f ca="1">Vol_Conical(B17,B18,B17,B28,Projectile!B9,B34,Projectile!F5)+Vol_Elliptical(B18,B19,B23,B24,B31,B31)</f>
        <v>#NAME?</v>
      </c>
      <c r="C41" s="39" t="s">
        <v>36</v>
      </c>
      <c r="E41" s="2" t="s">
        <v>538</v>
      </c>
      <c r="F41" s="114" t="e">
        <f ca="1">100*POWER(F36/Projectile!B9,2)</f>
        <v>#NAME?</v>
      </c>
      <c r="G41" s="116" t="s">
        <v>228</v>
      </c>
      <c r="I41" s="2" t="s">
        <v>63</v>
      </c>
      <c r="J41" s="114" t="e">
        <f ca="1">F43</f>
        <v>#NAME?</v>
      </c>
      <c r="K41" s="39" t="s">
        <v>36</v>
      </c>
      <c r="M41" s="2" t="s">
        <v>34</v>
      </c>
      <c r="N41" s="114" t="e">
        <f ca="1">B41</f>
        <v>#NAME?</v>
      </c>
      <c r="O41" s="39" t="s">
        <v>36</v>
      </c>
    </row>
    <row r="42" spans="1:15" x14ac:dyDescent="0.2">
      <c r="E42" s="2" t="s">
        <v>44</v>
      </c>
      <c r="F42" s="114" t="e">
        <f ca="1">Common_Projectiles!R34</f>
        <v>#NAME?</v>
      </c>
      <c r="G42" s="39" t="s">
        <v>36</v>
      </c>
      <c r="I42" s="2" t="s">
        <v>34</v>
      </c>
      <c r="J42" s="114" t="e">
        <f ca="1">F44</f>
        <v>#NAME?</v>
      </c>
      <c r="K42" s="39" t="s">
        <v>36</v>
      </c>
    </row>
    <row r="43" spans="1:15" x14ac:dyDescent="0.2">
      <c r="A43" s="117" t="s">
        <v>8</v>
      </c>
      <c r="E43" s="2" t="s">
        <v>63</v>
      </c>
      <c r="F43" s="114" t="e">
        <f ca="1">B40</f>
        <v>#NAME?</v>
      </c>
      <c r="G43" s="39" t="s">
        <v>36</v>
      </c>
    </row>
    <row r="44" spans="1:15" x14ac:dyDescent="0.2">
      <c r="A44" s="115" t="s">
        <v>523</v>
      </c>
      <c r="B44" s="114">
        <f>Projectile!N35</f>
        <v>-12.929473807779946</v>
      </c>
      <c r="C44" s="112" t="s">
        <v>2</v>
      </c>
      <c r="E44" s="2" t="s">
        <v>34</v>
      </c>
      <c r="F44" s="114" t="e">
        <f ca="1">B41</f>
        <v>#NAME?</v>
      </c>
      <c r="G44" s="39" t="s">
        <v>36</v>
      </c>
      <c r="I44" s="117" t="s">
        <v>8</v>
      </c>
    </row>
    <row r="45" spans="1:15" x14ac:dyDescent="0.2">
      <c r="A45" s="115" t="s">
        <v>460</v>
      </c>
      <c r="B45" s="114">
        <f>Projectile!N34</f>
        <v>-12.494736903889972</v>
      </c>
      <c r="C45" s="112" t="s">
        <v>2</v>
      </c>
      <c r="E45" s="115" t="s">
        <v>480</v>
      </c>
      <c r="F45" s="114" t="e">
        <f ca="1">Vol_Conical(F18,F20,F18,F37,0,F36,Projectile!F5)</f>
        <v>#NAME?</v>
      </c>
      <c r="G45" s="112" t="s">
        <v>36</v>
      </c>
      <c r="I45" s="115" t="s">
        <v>460</v>
      </c>
      <c r="J45" s="114">
        <f>Common_Projectiles!R39</f>
        <v>-12.929473807779948</v>
      </c>
      <c r="K45" s="112" t="s">
        <v>2</v>
      </c>
    </row>
    <row r="46" spans="1:15" x14ac:dyDescent="0.2">
      <c r="A46" s="115" t="s">
        <v>473</v>
      </c>
      <c r="B46" s="114">
        <f>Projectile!J34</f>
        <v>-8.7747369038899734</v>
      </c>
      <c r="C46" s="112" t="s">
        <v>2</v>
      </c>
      <c r="E46" s="115"/>
      <c r="I46" s="115" t="s">
        <v>459</v>
      </c>
      <c r="J46" s="114">
        <f>Common_Projectiles!R40</f>
        <v>-8.7747369038899734</v>
      </c>
      <c r="K46" s="112" t="s">
        <v>2</v>
      </c>
    </row>
    <row r="47" spans="1:15" x14ac:dyDescent="0.2">
      <c r="A47" s="115" t="s">
        <v>463</v>
      </c>
      <c r="B47" s="114" t="e">
        <f ca="1">B17-Projectile!F5*Projectile!B47*TAN(B37*PI()/180)</f>
        <v>#NAME?</v>
      </c>
      <c r="C47" s="112" t="s">
        <v>2</v>
      </c>
      <c r="E47" s="117" t="s">
        <v>8</v>
      </c>
      <c r="I47" s="115" t="s">
        <v>463</v>
      </c>
      <c r="J47" s="114" t="e">
        <f ca="1">B47</f>
        <v>#NAME?</v>
      </c>
      <c r="K47" s="112" t="s">
        <v>2</v>
      </c>
    </row>
    <row r="48" spans="1:15" x14ac:dyDescent="0.2">
      <c r="A48" s="115" t="s">
        <v>477</v>
      </c>
      <c r="B48" s="114" t="e">
        <f ca="1">B19-Projectile!F5*Projectile!B47</f>
        <v>#NAME?</v>
      </c>
      <c r="C48" s="112" t="s">
        <v>2</v>
      </c>
      <c r="E48" s="115" t="s">
        <v>460</v>
      </c>
      <c r="F48" s="114">
        <f>Common_Projectiles!R39</f>
        <v>-12.929473807779948</v>
      </c>
      <c r="G48" s="112" t="s">
        <v>2</v>
      </c>
      <c r="I48" s="115" t="s">
        <v>453</v>
      </c>
      <c r="J48" s="114" t="e">
        <f ca="1">Inv_Conical(J58/2,J47,F54,J57,F56,Projectile!F5)</f>
        <v>#NAME?</v>
      </c>
      <c r="K48" s="112" t="s">
        <v>2</v>
      </c>
    </row>
    <row r="49" spans="1:11" x14ac:dyDescent="0.2">
      <c r="A49" s="115" t="s">
        <v>17</v>
      </c>
      <c r="B49" s="114">
        <f>Projectile!N37</f>
        <v>4.1547369038899733</v>
      </c>
      <c r="C49" s="112" t="s">
        <v>2</v>
      </c>
      <c r="E49" s="2" t="s">
        <v>459</v>
      </c>
      <c r="F49" s="114">
        <f>Common_Projectiles!R40</f>
        <v>-8.7747369038899734</v>
      </c>
      <c r="G49" s="112" t="s">
        <v>2</v>
      </c>
      <c r="I49" s="115" t="s">
        <v>455</v>
      </c>
      <c r="J49" s="114" t="e">
        <f ca="1">J48+Projectile!F5*Projectile!B47*SIN(J38*PI()/180)</f>
        <v>#NAME?</v>
      </c>
      <c r="K49" s="112" t="s">
        <v>2</v>
      </c>
    </row>
    <row r="50" spans="1:11" x14ac:dyDescent="0.2">
      <c r="A50" s="115" t="s">
        <v>73</v>
      </c>
      <c r="B50" s="114" t="e">
        <f ca="1">Projectile!J5*(B46-B47)</f>
        <v>#NAME?</v>
      </c>
      <c r="C50" s="112" t="s">
        <v>2</v>
      </c>
      <c r="E50" s="115" t="s">
        <v>463</v>
      </c>
      <c r="F50" s="114" t="e">
        <f ca="1">B47</f>
        <v>#NAME?</v>
      </c>
      <c r="G50" s="112" t="s">
        <v>2</v>
      </c>
      <c r="I50" s="115" t="s">
        <v>514</v>
      </c>
      <c r="J50" s="114" t="e">
        <f ca="1">B18</f>
        <v>#NAME?</v>
      </c>
      <c r="K50" s="112" t="s">
        <v>2</v>
      </c>
    </row>
    <row r="51" spans="1:11" x14ac:dyDescent="0.2">
      <c r="A51" s="115" t="s">
        <v>72</v>
      </c>
      <c r="B51" s="114" t="e">
        <f ca="1">Projectile!F5*(B48-B47)</f>
        <v>#NAME?</v>
      </c>
      <c r="C51" s="112" t="s">
        <v>2</v>
      </c>
      <c r="E51" s="115" t="s">
        <v>477</v>
      </c>
      <c r="F51" s="114" t="e">
        <f ca="1">F20</f>
        <v>#NAME?</v>
      </c>
      <c r="G51" s="112" t="s">
        <v>2</v>
      </c>
      <c r="I51" s="115" t="s">
        <v>515</v>
      </c>
      <c r="J51" s="114" t="e">
        <f ca="1">B19</f>
        <v>#NAME?</v>
      </c>
      <c r="K51" s="112" t="s">
        <v>2</v>
      </c>
    </row>
    <row r="52" spans="1:11" x14ac:dyDescent="0.2">
      <c r="A52" s="115" t="s">
        <v>526</v>
      </c>
      <c r="B52" s="114">
        <f>Projectile!J38</f>
        <v>5.2</v>
      </c>
      <c r="C52" s="112" t="s">
        <v>2</v>
      </c>
      <c r="E52" s="115" t="s">
        <v>17</v>
      </c>
      <c r="F52" s="114">
        <f>Common_Projectiles!R46</f>
        <v>4.1547369038899742</v>
      </c>
      <c r="G52" s="112" t="s">
        <v>2</v>
      </c>
      <c r="I52" s="115" t="s">
        <v>17</v>
      </c>
      <c r="J52" s="114">
        <f>Common_Projectiles!R46</f>
        <v>4.1547369038899742</v>
      </c>
      <c r="K52" s="112" t="s">
        <v>2</v>
      </c>
    </row>
    <row r="53" spans="1:11" x14ac:dyDescent="0.2">
      <c r="A53" s="115" t="s">
        <v>520</v>
      </c>
      <c r="B53" s="114" t="e">
        <f ca="1">B52-2*TAN(B37*PI()/180)*B51</f>
        <v>#NAME?</v>
      </c>
      <c r="C53" s="112" t="s">
        <v>2</v>
      </c>
      <c r="E53" s="115" t="s">
        <v>73</v>
      </c>
      <c r="F53" s="114" t="e">
        <f ca="1">B50</f>
        <v>#NAME?</v>
      </c>
      <c r="G53" s="112" t="s">
        <v>2</v>
      </c>
      <c r="I53" s="115" t="s">
        <v>73</v>
      </c>
      <c r="J53" s="114" t="e">
        <f ca="1">B50</f>
        <v>#NAME?</v>
      </c>
      <c r="K53" s="112" t="s">
        <v>2</v>
      </c>
    </row>
    <row r="54" spans="1:11" x14ac:dyDescent="0.2">
      <c r="A54" s="2" t="s">
        <v>44</v>
      </c>
      <c r="B54" s="114" t="e">
        <f ca="1">Projectile!N46</f>
        <v>#NAME?</v>
      </c>
      <c r="C54" s="39" t="s">
        <v>36</v>
      </c>
      <c r="E54" s="115" t="s">
        <v>72</v>
      </c>
      <c r="F54" s="114" t="e">
        <f ca="1">Projectile!F5*(F51-F50)</f>
        <v>#NAME?</v>
      </c>
      <c r="G54" s="112" t="s">
        <v>2</v>
      </c>
      <c r="I54" s="115" t="s">
        <v>543</v>
      </c>
      <c r="J54" s="114" t="e">
        <f ca="1">Projectile!F5*(J48-J47)</f>
        <v>#NAME?</v>
      </c>
      <c r="K54" s="112" t="s">
        <v>2</v>
      </c>
    </row>
    <row r="55" spans="1:11" x14ac:dyDescent="0.2">
      <c r="A55" s="2" t="s">
        <v>63</v>
      </c>
      <c r="B55" s="114" t="e">
        <f ca="1">PI()/4000*(B52*B52*B50)-Projectile!J45</f>
        <v>#NAME?</v>
      </c>
      <c r="C55" s="39" t="s">
        <v>36</v>
      </c>
      <c r="E55" s="115" t="s">
        <v>526</v>
      </c>
      <c r="F55" s="114">
        <f>B52</f>
        <v>5.2</v>
      </c>
      <c r="G55" s="112" t="s">
        <v>2</v>
      </c>
      <c r="I55" s="115" t="s">
        <v>544</v>
      </c>
      <c r="J55" s="114" t="e">
        <f ca="1">Projectile!F5*(J49-J48)</f>
        <v>#NAME?</v>
      </c>
      <c r="K55" s="112" t="s">
        <v>2</v>
      </c>
    </row>
    <row r="56" spans="1:11" x14ac:dyDescent="0.2">
      <c r="A56" s="2" t="s">
        <v>34</v>
      </c>
      <c r="B56" s="114" t="e">
        <f ca="1">Vol_Conical(B47,B48,B47,B51,B52,B53,Projectile!F5)</f>
        <v>#NAME?</v>
      </c>
      <c r="C56" s="39" t="s">
        <v>36</v>
      </c>
      <c r="E56" s="115" t="s">
        <v>293</v>
      </c>
      <c r="F56" s="114" t="e">
        <f ca="1">F55-2*TAN(F39*PI()/180)*F54</f>
        <v>#NAME?</v>
      </c>
      <c r="G56" s="112" t="s">
        <v>2</v>
      </c>
      <c r="I56" s="115" t="s">
        <v>545</v>
      </c>
      <c r="J56" s="114" t="e">
        <f ca="1">Projectile!F5*(J50-J49)</f>
        <v>#NAME?</v>
      </c>
      <c r="K56" s="112" t="s">
        <v>2</v>
      </c>
    </row>
    <row r="57" spans="1:11" x14ac:dyDescent="0.2">
      <c r="A57" s="32" t="s">
        <v>37</v>
      </c>
      <c r="C57" s="39"/>
      <c r="E57" s="2" t="s">
        <v>44</v>
      </c>
      <c r="F57" s="114" t="e">
        <f ca="1">Common_Projectiles!R58</f>
        <v>#NAME?</v>
      </c>
      <c r="G57" s="39" t="s">
        <v>36</v>
      </c>
      <c r="I57" s="115" t="s">
        <v>526</v>
      </c>
      <c r="J57" s="114">
        <f>B52</f>
        <v>5.2</v>
      </c>
      <c r="K57" s="112" t="s">
        <v>2</v>
      </c>
    </row>
    <row r="58" spans="1:11" x14ac:dyDescent="0.2">
      <c r="A58" s="6" t="s">
        <v>35</v>
      </c>
      <c r="C58" s="39" t="s">
        <v>2</v>
      </c>
      <c r="E58" s="2" t="s">
        <v>63</v>
      </c>
      <c r="F58" s="114" t="e">
        <f ca="1">B55</f>
        <v>#NAME?</v>
      </c>
      <c r="G58" s="39" t="s">
        <v>36</v>
      </c>
      <c r="I58" s="115" t="s">
        <v>541</v>
      </c>
      <c r="J58" s="114">
        <f>J57-Projectile!B47</f>
        <v>4.7</v>
      </c>
      <c r="K58" s="112" t="s">
        <v>2</v>
      </c>
    </row>
    <row r="59" spans="1:11" x14ac:dyDescent="0.2">
      <c r="A59" s="6" t="s">
        <v>104</v>
      </c>
      <c r="B59" s="114" t="e">
        <f ca="1">B54+B55+B56</f>
        <v>#NAME?</v>
      </c>
      <c r="C59" s="39" t="s">
        <v>36</v>
      </c>
      <c r="E59" s="2" t="s">
        <v>34</v>
      </c>
      <c r="F59" s="114" t="e">
        <f ca="1">Vol_Conical(F50,F51,F50,F54,F55,F56,Projectile!F5)-F45</f>
        <v>#NAME?</v>
      </c>
      <c r="G59" s="39" t="s">
        <v>36</v>
      </c>
      <c r="I59" s="115" t="s">
        <v>542</v>
      </c>
      <c r="J59" s="114" t="e">
        <f ca="1">J58+2*Projectile!F5*Projectile!B47*COS(J38*PI()/180)</f>
        <v>#NAME?</v>
      </c>
      <c r="K59" s="112" t="s">
        <v>2</v>
      </c>
    </row>
    <row r="60" spans="1:11" x14ac:dyDescent="0.2">
      <c r="A60" s="2" t="s">
        <v>285</v>
      </c>
      <c r="B60" s="114" t="e">
        <f ca="1">B59*Projectile!B43</f>
        <v>#NAME?</v>
      </c>
      <c r="C60" s="39" t="s">
        <v>87</v>
      </c>
      <c r="E60" s="32" t="s">
        <v>37</v>
      </c>
      <c r="G60" s="39"/>
      <c r="I60" s="115" t="s">
        <v>520</v>
      </c>
      <c r="J60" s="114" t="e">
        <f ca="1">B34</f>
        <v>#NAME?</v>
      </c>
      <c r="K60" s="112" t="s">
        <v>2</v>
      </c>
    </row>
    <row r="61" spans="1:11" x14ac:dyDescent="0.2">
      <c r="E61" s="6" t="s">
        <v>35</v>
      </c>
      <c r="G61" s="39" t="s">
        <v>2</v>
      </c>
      <c r="I61" s="115" t="s">
        <v>524</v>
      </c>
      <c r="J61" s="114">
        <f>B35</f>
        <v>3.2376156952021544</v>
      </c>
      <c r="K61" s="112" t="s">
        <v>2</v>
      </c>
    </row>
    <row r="62" spans="1:11" x14ac:dyDescent="0.2">
      <c r="A62" s="117" t="s">
        <v>38</v>
      </c>
      <c r="E62" s="6" t="s">
        <v>104</v>
      </c>
      <c r="F62" s="114" t="e">
        <f ca="1">F57+F58+F59</f>
        <v>#NAME?</v>
      </c>
      <c r="G62" s="39" t="s">
        <v>36</v>
      </c>
      <c r="I62" s="2" t="s">
        <v>44</v>
      </c>
      <c r="J62" s="114" t="e">
        <f ca="1">Common_Projectiles!R58</f>
        <v>#NAME?</v>
      </c>
      <c r="K62" s="39" t="s">
        <v>36</v>
      </c>
    </row>
    <row r="63" spans="1:11" x14ac:dyDescent="0.2">
      <c r="A63" s="115" t="s">
        <v>44</v>
      </c>
      <c r="B63" s="114" t="e">
        <f ca="1">B39-B54</f>
        <v>#NAME?</v>
      </c>
      <c r="C63" s="112" t="s">
        <v>36</v>
      </c>
      <c r="E63" s="2" t="s">
        <v>285</v>
      </c>
      <c r="F63" s="114" t="e">
        <f ca="1">F62*Projectile!B43</f>
        <v>#NAME?</v>
      </c>
      <c r="G63" s="39" t="s">
        <v>87</v>
      </c>
      <c r="I63" s="2" t="s">
        <v>63</v>
      </c>
      <c r="J63" s="114" t="e">
        <f ca="1">B55</f>
        <v>#NAME?</v>
      </c>
      <c r="K63" s="39" t="s">
        <v>36</v>
      </c>
    </row>
    <row r="64" spans="1:11" x14ac:dyDescent="0.2">
      <c r="A64" s="115" t="s">
        <v>63</v>
      </c>
      <c r="B64" s="114" t="e">
        <f ca="1">B40-B55</f>
        <v>#NAME?</v>
      </c>
      <c r="C64" s="112" t="s">
        <v>36</v>
      </c>
      <c r="E64" s="115"/>
      <c r="I64" s="2" t="s">
        <v>34</v>
      </c>
      <c r="J64" s="114" t="e">
        <f ca="1">Vol_Conical(J47,J48,J47,J54,J57,J58,Projectile!F5)+Vol_Conical(J48,J49,J48,J55,J58,J59,Projectile!F5)+Vol_Conical(J49,J50,J49,J56,J59,J60,Projectile!F5)+Vol_Elliptical(J19,J20,J24,J25,J32,J32)</f>
        <v>#NAME?</v>
      </c>
      <c r="K64" s="39" t="s">
        <v>36</v>
      </c>
    </row>
    <row r="65" spans="1:11" x14ac:dyDescent="0.2">
      <c r="A65" s="115" t="s">
        <v>34</v>
      </c>
      <c r="B65" s="114" t="e">
        <f ca="1">B41-B56</f>
        <v>#NAME?</v>
      </c>
      <c r="C65" s="112" t="s">
        <v>36</v>
      </c>
      <c r="E65" s="117" t="s">
        <v>38</v>
      </c>
      <c r="I65" s="32" t="s">
        <v>37</v>
      </c>
    </row>
    <row r="66" spans="1:11" x14ac:dyDescent="0.2">
      <c r="A66" s="32" t="s">
        <v>37</v>
      </c>
      <c r="E66" s="115" t="s">
        <v>44</v>
      </c>
      <c r="F66" s="114" t="e">
        <f ca="1">F42-F57</f>
        <v>#NAME?</v>
      </c>
      <c r="G66" s="112" t="s">
        <v>36</v>
      </c>
      <c r="I66" s="6" t="s">
        <v>35</v>
      </c>
      <c r="K66" s="39" t="s">
        <v>2</v>
      </c>
    </row>
    <row r="67" spans="1:11" x14ac:dyDescent="0.2">
      <c r="A67" s="6" t="s">
        <v>35</v>
      </c>
      <c r="C67" s="39" t="s">
        <v>2</v>
      </c>
      <c r="E67" s="115" t="s">
        <v>63</v>
      </c>
      <c r="F67" s="114" t="e">
        <f ca="1">F43-F58</f>
        <v>#NAME?</v>
      </c>
      <c r="G67" s="112" t="s">
        <v>36</v>
      </c>
      <c r="I67" s="6" t="s">
        <v>104</v>
      </c>
      <c r="J67" s="114" t="e">
        <f ca="1">J62+J63+J64</f>
        <v>#NAME?</v>
      </c>
      <c r="K67" s="39" t="s">
        <v>36</v>
      </c>
    </row>
    <row r="68" spans="1:11" x14ac:dyDescent="0.2">
      <c r="A68" s="6" t="s">
        <v>104</v>
      </c>
      <c r="B68" s="114" t="e">
        <f ca="1">B63+B64+B65</f>
        <v>#NAME?</v>
      </c>
      <c r="C68" s="39" t="s">
        <v>36</v>
      </c>
      <c r="E68" s="115" t="s">
        <v>34</v>
      </c>
      <c r="F68" s="114" t="e">
        <f ca="1">F44-F59-F45</f>
        <v>#NAME?</v>
      </c>
      <c r="G68" s="112" t="s">
        <v>36</v>
      </c>
      <c r="I68" s="2" t="s">
        <v>285</v>
      </c>
      <c r="J68" s="114" t="e">
        <f ca="1">J67*Projectile!B43</f>
        <v>#NAME?</v>
      </c>
      <c r="K68" s="39" t="s">
        <v>87</v>
      </c>
    </row>
    <row r="69" spans="1:11" x14ac:dyDescent="0.2">
      <c r="A69" s="2" t="s">
        <v>285</v>
      </c>
      <c r="B69" s="114" t="e">
        <f ca="1">B68*Projectile!B56</f>
        <v>#NAME?</v>
      </c>
      <c r="C69" s="39" t="s">
        <v>87</v>
      </c>
      <c r="E69" s="32" t="s">
        <v>37</v>
      </c>
    </row>
    <row r="70" spans="1:11" x14ac:dyDescent="0.2">
      <c r="E70" s="6" t="s">
        <v>35</v>
      </c>
      <c r="G70" s="39" t="s">
        <v>2</v>
      </c>
      <c r="I70" s="117" t="s">
        <v>38</v>
      </c>
    </row>
    <row r="71" spans="1:11" x14ac:dyDescent="0.2">
      <c r="E71" s="6" t="s">
        <v>104</v>
      </c>
      <c r="F71" s="114" t="e">
        <f ca="1">F66+F67+F68</f>
        <v>#NAME?</v>
      </c>
      <c r="G71" s="39" t="s">
        <v>36</v>
      </c>
      <c r="I71" s="115" t="s">
        <v>44</v>
      </c>
      <c r="J71" s="114" t="e">
        <f ca="1">F66</f>
        <v>#NAME?</v>
      </c>
      <c r="K71" s="112" t="s">
        <v>36</v>
      </c>
    </row>
    <row r="72" spans="1:11" x14ac:dyDescent="0.2">
      <c r="E72" s="2" t="s">
        <v>285</v>
      </c>
      <c r="F72" s="114" t="e">
        <f ca="1">F71*Projectile!B56</f>
        <v>#NAME?</v>
      </c>
      <c r="G72" s="39" t="s">
        <v>87</v>
      </c>
      <c r="I72" s="115" t="s">
        <v>63</v>
      </c>
      <c r="J72" s="114" t="e">
        <f ca="1">F67</f>
        <v>#NAME?</v>
      </c>
      <c r="K72" s="112" t="s">
        <v>36</v>
      </c>
    </row>
    <row r="73" spans="1:11" x14ac:dyDescent="0.2">
      <c r="I73" s="115" t="s">
        <v>34</v>
      </c>
      <c r="J73" s="114" t="e">
        <f ca="1">J42-J64</f>
        <v>#NAME?</v>
      </c>
      <c r="K73" s="112" t="s">
        <v>36</v>
      </c>
    </row>
    <row r="74" spans="1:11" x14ac:dyDescent="0.2">
      <c r="I74" s="32" t="s">
        <v>37</v>
      </c>
    </row>
    <row r="75" spans="1:11" x14ac:dyDescent="0.2">
      <c r="I75" s="6" t="s">
        <v>35</v>
      </c>
      <c r="K75" s="39" t="s">
        <v>2</v>
      </c>
    </row>
    <row r="76" spans="1:11" x14ac:dyDescent="0.2">
      <c r="I76" s="6" t="s">
        <v>104</v>
      </c>
      <c r="J76" s="114" t="e">
        <f ca="1">J71+J72+J73</f>
        <v>#NAME?</v>
      </c>
      <c r="K76" s="39" t="s">
        <v>36</v>
      </c>
    </row>
    <row r="77" spans="1:11" x14ac:dyDescent="0.2">
      <c r="I77" s="2" t="s">
        <v>285</v>
      </c>
      <c r="J77" s="114" t="e">
        <f ca="1">J76*Projectile!B56</f>
        <v>#NAME?</v>
      </c>
      <c r="K77" s="39" t="s">
        <v>87</v>
      </c>
    </row>
  </sheetData>
  <pageMargins left="0.7" right="0.7" top="0.75" bottom="0.75" header="0.3" footer="0.3"/>
  <pageSetup orientation="portrait" horizontalDpi="1200" verticalDpi="1200" r:id="rId1"/>
  <ignoredErrors>
    <ignoredError sqref="N39 J37 F54 N36" formula="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U61"/>
  <sheetViews>
    <sheetView workbookViewId="0">
      <pane ySplit="2" topLeftCell="A3" activePane="bottomLeft" state="frozen"/>
      <selection pane="bottomLeft" activeCell="F42" sqref="F42"/>
    </sheetView>
  </sheetViews>
  <sheetFormatPr defaultRowHeight="12.75" x14ac:dyDescent="0.2"/>
  <cols>
    <col min="1" max="1" width="22.7109375" style="2" customWidth="1"/>
    <col min="2" max="2" width="8.7109375" style="1" customWidth="1"/>
    <col min="3" max="3" width="8.140625" style="2" bestFit="1" customWidth="1"/>
    <col min="4" max="4" width="5.7109375" style="2" customWidth="1"/>
    <col min="5" max="5" width="22.7109375" style="2" customWidth="1"/>
    <col min="6" max="6" width="8.7109375" style="1" customWidth="1"/>
    <col min="7" max="8" width="5.7109375" style="2" customWidth="1"/>
    <col min="9" max="9" width="22.7109375" style="2" customWidth="1"/>
    <col min="10" max="10" width="8.7109375" style="1" customWidth="1"/>
    <col min="11" max="12" width="5.7109375" style="2" customWidth="1"/>
    <col min="13" max="13" width="22.7109375" style="2" customWidth="1"/>
    <col min="14" max="14" width="8.7109375" style="1" customWidth="1"/>
    <col min="15" max="16" width="5.7109375" style="2" customWidth="1"/>
    <col min="17" max="17" width="22.7109375" style="2" customWidth="1"/>
    <col min="18" max="18" width="8.7109375" style="1" customWidth="1"/>
    <col min="19" max="19" width="6.5703125" style="39" bestFit="1" customWidth="1"/>
    <col min="20" max="20" width="8.5703125" style="2" bestFit="1" customWidth="1"/>
    <col min="21" max="21" width="9.140625" style="163" hidden="1" customWidth="1"/>
    <col min="22" max="16384" width="9.140625" style="3"/>
  </cols>
  <sheetData>
    <row r="1" spans="1:21" x14ac:dyDescent="0.2">
      <c r="A1" s="32" t="s">
        <v>95</v>
      </c>
      <c r="E1" s="33" t="s">
        <v>97</v>
      </c>
      <c r="F1" s="92">
        <f>IF(Summary!B1="Custom",Summary!B15,Summary!F15)</f>
        <v>0.80349999999999999</v>
      </c>
      <c r="G1" s="36" t="s">
        <v>3</v>
      </c>
      <c r="I1" s="33" t="s">
        <v>269</v>
      </c>
      <c r="J1" s="92">
        <f>IF(Summary!B1="Custom",Summary!B18,Summary!F18)</f>
        <v>1.07</v>
      </c>
      <c r="K1" s="36" t="s">
        <v>27</v>
      </c>
      <c r="M1" s="2" t="s">
        <v>96</v>
      </c>
      <c r="N1" s="1" t="e">
        <f ca="1">IF(2*SQRT(1000*B10/(F1*Projectile!B17*PI()))&lt;Projectile!B9,4000*B10/(PI()*Projectile!B9*Projectile!B9),F1*Projectile!B17)</f>
        <v>#NAME?</v>
      </c>
      <c r="O1" s="58" t="s">
        <v>2</v>
      </c>
      <c r="Q1" s="32" t="s">
        <v>707</v>
      </c>
      <c r="U1" s="163" t="b">
        <f>AND(Summary!B1="Custom",Summary!C21="Yes")</f>
        <v>0</v>
      </c>
    </row>
    <row r="2" spans="1:21" x14ac:dyDescent="0.2">
      <c r="A2" s="56" t="s">
        <v>182</v>
      </c>
      <c r="B2" s="57">
        <f>IF(Summary!B1="Custom",Summary!B17,Summary!F17)</f>
        <v>430</v>
      </c>
      <c r="C2" s="36" t="s">
        <v>183</v>
      </c>
      <c r="E2" s="33" t="s">
        <v>98</v>
      </c>
      <c r="F2" s="92">
        <f>IF(Summary!B1="Custom",Summary!B16,Summary!F16)</f>
        <v>3.0912999999999999</v>
      </c>
      <c r="G2" s="36" t="s">
        <v>3</v>
      </c>
      <c r="I2" s="33" t="s">
        <v>703</v>
      </c>
      <c r="J2" s="34">
        <v>8.5250000000000004</v>
      </c>
      <c r="K2" s="35" t="s">
        <v>74</v>
      </c>
      <c r="M2" s="2" t="s">
        <v>99</v>
      </c>
      <c r="N2" s="1" t="e">
        <f ca="1">2*SQRT(1000*B10/(N1*PI()))</f>
        <v>#NAME?</v>
      </c>
      <c r="O2" s="58" t="s">
        <v>2</v>
      </c>
      <c r="U2" s="163" t="b">
        <f>AND(Summary!B1="Predefined",Summary!G21="Yes")</f>
        <v>1</v>
      </c>
    </row>
    <row r="3" spans="1:21" x14ac:dyDescent="0.2">
      <c r="B3" s="88">
        <f>B2/0.006894757</f>
        <v>62366.229875831741</v>
      </c>
      <c r="C3" s="2" t="s">
        <v>246</v>
      </c>
      <c r="M3" s="2" t="s">
        <v>271</v>
      </c>
      <c r="N3" s="1" t="e">
        <f ca="1">Inv_Max_Pressure(B2)</f>
        <v>#NAME?</v>
      </c>
      <c r="O3" s="58" t="s">
        <v>3</v>
      </c>
      <c r="Q3" s="32"/>
      <c r="R3" s="37"/>
      <c r="U3" s="163" t="str">
        <f>IF(Summary!B1="Custom",Summary!B29,Summary!F29)</f>
        <v>Brass</v>
      </c>
    </row>
    <row r="4" spans="1:21" x14ac:dyDescent="0.2">
      <c r="A4" s="38" t="s">
        <v>118</v>
      </c>
      <c r="B4" s="37" t="str">
        <f>IF(Summary!B1="Custom",Summary!B14,Summary!F14)</f>
        <v>Rimless</v>
      </c>
      <c r="C4" s="37" t="e">
        <f ca="1">IF(N2&gt;1.001*Projectile!B9,"Bottleneck","Straight")</f>
        <v>#NAME?</v>
      </c>
      <c r="E4" s="38" t="s">
        <v>124</v>
      </c>
      <c r="F4" s="41" t="e">
        <f ca="1">IF(B10/POWER(F2,0.5)&lt;1.41,"Small",IF(B10/POWER(F2,0.5)&gt;7,"Arsenal","Large"))</f>
        <v>#NAME?</v>
      </c>
      <c r="G4" s="40" t="e">
        <f ca="1">IF(F4="Arsenal","#35",IF(B10/POWER(Projectile!B9,3/2)&lt;2/30,"Pistol","Rifle"))</f>
        <v>#NAME?</v>
      </c>
      <c r="I4" s="38" t="s">
        <v>132</v>
      </c>
      <c r="M4" s="2" t="s">
        <v>309</v>
      </c>
      <c r="N4" s="1" t="e">
        <f ca="1">Wall_Thickness(N3)</f>
        <v>#NAME?</v>
      </c>
      <c r="O4" s="58" t="s">
        <v>3</v>
      </c>
      <c r="Q4" s="38" t="s">
        <v>132</v>
      </c>
    </row>
    <row r="5" spans="1:21" x14ac:dyDescent="0.2">
      <c r="E5" s="33" t="s">
        <v>125</v>
      </c>
      <c r="F5" s="34" t="e">
        <f ca="1">MAX(0.45*F6,B46)</f>
        <v>#NAME?</v>
      </c>
      <c r="G5" s="36" t="s">
        <v>2</v>
      </c>
      <c r="O5" s="58"/>
      <c r="T5" s="3"/>
    </row>
    <row r="6" spans="1:21" x14ac:dyDescent="0.2">
      <c r="A6" s="38" t="s">
        <v>117</v>
      </c>
      <c r="E6" s="33" t="s">
        <v>126</v>
      </c>
      <c r="F6" s="34" t="e">
        <f ca="1">IF(OR(F4="Small",AND(F4="Large",G4="Pistol")),3.1,IF(AND(F4="Large",G4="Rifle"),3.4,5.5))</f>
        <v>#NAME?</v>
      </c>
      <c r="G6" s="36" t="s">
        <v>2</v>
      </c>
      <c r="I6" s="38" t="s">
        <v>110</v>
      </c>
      <c r="M6" s="38" t="s">
        <v>30</v>
      </c>
      <c r="O6" s="58"/>
      <c r="Q6" s="38" t="s">
        <v>110</v>
      </c>
      <c r="T6" s="54"/>
    </row>
    <row r="7" spans="1:21" x14ac:dyDescent="0.2">
      <c r="A7" s="2" t="s">
        <v>119</v>
      </c>
      <c r="B7" s="1" t="e">
        <f ca="1">IF(C4="Bottleneck",N1,Chamber_Length(B10,N1,N2,0.03,J1,N4))</f>
        <v>#NAME?</v>
      </c>
      <c r="C7" s="2" t="s">
        <v>2</v>
      </c>
      <c r="E7" s="33" t="s">
        <v>127</v>
      </c>
      <c r="F7" s="34" t="e">
        <f ca="1">0.35*F8</f>
        <v>#NAME?</v>
      </c>
      <c r="G7" s="36" t="s">
        <v>2</v>
      </c>
      <c r="I7" s="32" t="s">
        <v>100</v>
      </c>
      <c r="J7" s="37" t="e">
        <f ca="1">IF(J9=J10,"Cylindrical","Conical")</f>
        <v>#NAME?</v>
      </c>
      <c r="M7" s="32" t="s">
        <v>100</v>
      </c>
      <c r="N7" s="37" t="e">
        <f ca="1">IF(N11=N10,"Cylindrical","Conical")</f>
        <v>#NAME?</v>
      </c>
      <c r="O7" s="58"/>
      <c r="Q7" s="32" t="s">
        <v>100</v>
      </c>
      <c r="R7" s="37" t="e">
        <f ca="1">IF(R9=R10,"Cylindrical","Conical")</f>
        <v>#NAME?</v>
      </c>
      <c r="S7" s="83"/>
      <c r="T7" s="54"/>
    </row>
    <row r="8" spans="1:21" x14ac:dyDescent="0.2">
      <c r="A8" s="2" t="s">
        <v>120</v>
      </c>
      <c r="B8" s="1" t="e">
        <f ca="1">IF(C4="Straight",N2,Chamber_Diameter(B10,N1,N2,0.03,J1,N4))</f>
        <v>#NAME?</v>
      </c>
      <c r="C8" s="2" t="s">
        <v>2</v>
      </c>
      <c r="E8" s="33" t="s">
        <v>128</v>
      </c>
      <c r="F8" s="34" t="e">
        <f ca="1">IF(F4="Small",4.4,IF(F4="Large",5.3,8))</f>
        <v>#NAME?</v>
      </c>
      <c r="G8" s="36" t="s">
        <v>2</v>
      </c>
      <c r="I8" s="2" t="s">
        <v>101</v>
      </c>
      <c r="J8" s="1" t="e">
        <f ca="1">IF(B7&gt;1.5*B8,B7/3,B7/2)</f>
        <v>#NAME?</v>
      </c>
      <c r="K8" s="39" t="s">
        <v>2</v>
      </c>
      <c r="M8" s="2" t="s">
        <v>111</v>
      </c>
      <c r="N8" s="1" t="e">
        <f ca="1">IF(J9&gt;8.333,IF(J9&lt;16.667,J9*0.03,0.5),0.25)</f>
        <v>#NAME?</v>
      </c>
      <c r="O8" s="58" t="s">
        <v>2</v>
      </c>
      <c r="P8" s="55"/>
      <c r="Q8" s="2" t="s">
        <v>101</v>
      </c>
      <c r="R8" s="1" t="e">
        <f ca="1">IF(B7&gt;1.5*R9,0.8*B7,0.6*B7)</f>
        <v>#NAME?</v>
      </c>
      <c r="S8" s="39" t="s">
        <v>2</v>
      </c>
      <c r="T8" s="54"/>
    </row>
    <row r="9" spans="1:21" x14ac:dyDescent="0.2">
      <c r="A9" s="2" t="s">
        <v>121</v>
      </c>
      <c r="B9" s="1" t="e">
        <f ca="1">J31</f>
        <v>#NAME?</v>
      </c>
      <c r="C9" s="2" t="s">
        <v>2</v>
      </c>
      <c r="E9" s="33" t="s">
        <v>129</v>
      </c>
      <c r="F9" s="34" t="e">
        <f ca="1">0.9*F8</f>
        <v>#NAME?</v>
      </c>
      <c r="G9" s="36" t="s">
        <v>2</v>
      </c>
      <c r="I9" s="2" t="s">
        <v>102</v>
      </c>
      <c r="J9" s="1" t="e">
        <f ca="1">B8</f>
        <v>#NAME?</v>
      </c>
      <c r="K9" s="39" t="s">
        <v>2</v>
      </c>
      <c r="M9" s="2" t="s">
        <v>112</v>
      </c>
      <c r="N9" s="1" t="e">
        <f ca="1">(N11-J10)/2</f>
        <v>#NAME?</v>
      </c>
      <c r="O9" s="58" t="s">
        <v>2</v>
      </c>
      <c r="Q9" s="2" t="s">
        <v>102</v>
      </c>
      <c r="R9" s="1" t="e">
        <f ca="1">B8</f>
        <v>#NAME?</v>
      </c>
      <c r="S9" s="39" t="s">
        <v>2</v>
      </c>
      <c r="T9" s="54"/>
    </row>
    <row r="10" spans="1:21" x14ac:dyDescent="0.2">
      <c r="A10" s="2" t="s">
        <v>307</v>
      </c>
      <c r="B10" s="1" t="e">
        <f ca="1">F2*Projectile!B25+IF(AND(Projectile!N2&gt;C29,B29="Yes at"),Projectile!U4,0)</f>
        <v>#NAME?</v>
      </c>
      <c r="C10" s="2" t="s">
        <v>36</v>
      </c>
      <c r="E10" s="33" t="s">
        <v>130</v>
      </c>
      <c r="F10" s="34" t="e">
        <f ca="1">IF(F4="Small",0.23,IF(F4="Large",0.34,1.23))</f>
        <v>#NAME?</v>
      </c>
      <c r="G10" s="36" t="s">
        <v>2</v>
      </c>
      <c r="I10" s="2" t="s">
        <v>103</v>
      </c>
      <c r="J10" s="1" t="e">
        <f ca="1">J9 - 2*J8*TAN((1 - J1) * 0.00872664626)</f>
        <v>#NAME?</v>
      </c>
      <c r="K10" s="39" t="s">
        <v>2</v>
      </c>
      <c r="M10" s="2" t="s">
        <v>102</v>
      </c>
      <c r="N10" s="1" t="e">
        <f ca="1">J9+2*N8</f>
        <v>#NAME?</v>
      </c>
      <c r="O10" s="58" t="s">
        <v>2</v>
      </c>
      <c r="Q10" s="2" t="s">
        <v>103</v>
      </c>
      <c r="R10" s="1" t="e">
        <f ca="1">R9 + 2*R8*TAN( J1 * 0.00872664626)</f>
        <v>#NAME?</v>
      </c>
      <c r="S10" s="39" t="s">
        <v>2</v>
      </c>
      <c r="T10" s="54"/>
    </row>
    <row r="11" spans="1:21" x14ac:dyDescent="0.2">
      <c r="K11" s="39"/>
      <c r="M11" s="2" t="s">
        <v>103</v>
      </c>
      <c r="N11" s="1" t="e">
        <f ca="1">N10+2*J8*TAN(J1*0.00872664626)</f>
        <v>#NAME?</v>
      </c>
      <c r="O11" s="58" t="s">
        <v>2</v>
      </c>
      <c r="T11" s="54"/>
    </row>
    <row r="12" spans="1:21" x14ac:dyDescent="0.2">
      <c r="A12" s="46" t="s">
        <v>131</v>
      </c>
      <c r="B12" s="34"/>
      <c r="C12" s="35"/>
      <c r="E12" s="42" t="s">
        <v>163</v>
      </c>
      <c r="F12" s="34"/>
      <c r="G12" s="36"/>
      <c r="I12" s="32" t="s">
        <v>105</v>
      </c>
      <c r="J12" s="37" t="e">
        <f ca="1">IF(J14=J15,"Cylindrical","Conical")</f>
        <v>#NAME?</v>
      </c>
      <c r="K12" s="39"/>
      <c r="M12" s="32" t="s">
        <v>105</v>
      </c>
      <c r="N12" s="37" t="e">
        <f ca="1">IF(N16=N15,"Cylindrical","Conical")</f>
        <v>#NAME?</v>
      </c>
      <c r="O12" s="58"/>
      <c r="Q12" s="32" t="s">
        <v>105</v>
      </c>
      <c r="R12" s="37" t="e">
        <f ca="1">IF(R14=R15,"Cylindrical","Conical")</f>
        <v>#NAME?</v>
      </c>
      <c r="S12" s="83"/>
      <c r="T12" s="54"/>
    </row>
    <row r="13" spans="1:21" x14ac:dyDescent="0.2">
      <c r="A13" s="38" t="s">
        <v>443</v>
      </c>
      <c r="E13" s="33"/>
      <c r="F13" s="34"/>
      <c r="G13" s="36"/>
      <c r="I13" s="2" t="s">
        <v>101</v>
      </c>
      <c r="J13" s="1" t="e">
        <f ca="1">IF(B7&gt;1.5*B8,J8,0.001*J8)</f>
        <v>#NAME?</v>
      </c>
      <c r="K13" s="39" t="s">
        <v>2</v>
      </c>
      <c r="M13" s="2" t="s">
        <v>111</v>
      </c>
      <c r="N13" s="1" t="e">
        <f ca="1">N9</f>
        <v>#NAME?</v>
      </c>
      <c r="O13" s="58" t="s">
        <v>2</v>
      </c>
      <c r="P13" s="55"/>
      <c r="Q13" s="2" t="s">
        <v>101</v>
      </c>
      <c r="R13" s="1" t="e">
        <f ca="1">B7-R8</f>
        <v>#NAME?</v>
      </c>
      <c r="S13" s="39" t="s">
        <v>2</v>
      </c>
      <c r="T13" s="54"/>
    </row>
    <row r="14" spans="1:21" x14ac:dyDescent="0.2">
      <c r="A14" s="2" t="s">
        <v>441</v>
      </c>
      <c r="B14" s="1" t="e">
        <f ca="1">SQRT(POWER(B36+B32,2)-B36*B36+B19*B19)-B19-B35*TAN(J1*PI()/180)</f>
        <v>#NAME?</v>
      </c>
      <c r="C14" s="39" t="s">
        <v>2</v>
      </c>
      <c r="E14" s="42" t="s">
        <v>164</v>
      </c>
      <c r="F14" s="43" t="e">
        <f ca="1">F17+F16+F15+F18+F19</f>
        <v>#NAME?</v>
      </c>
      <c r="G14" s="47" t="s">
        <v>36</v>
      </c>
      <c r="I14" s="2" t="s">
        <v>102</v>
      </c>
      <c r="J14" s="1" t="e">
        <f ca="1">J10</f>
        <v>#NAME?</v>
      </c>
      <c r="K14" s="39" t="s">
        <v>2</v>
      </c>
      <c r="M14" s="2" t="s">
        <v>112</v>
      </c>
      <c r="N14" s="1" t="e">
        <f ca="1">(N16-J15)/2</f>
        <v>#NAME?</v>
      </c>
      <c r="O14" s="58" t="s">
        <v>2</v>
      </c>
      <c r="Q14" s="2" t="s">
        <v>102</v>
      </c>
      <c r="R14" s="1" t="e">
        <f ca="1">R10</f>
        <v>#NAME?</v>
      </c>
      <c r="S14" s="39" t="s">
        <v>2</v>
      </c>
      <c r="T14" s="54"/>
    </row>
    <row r="15" spans="1:21" x14ac:dyDescent="0.2">
      <c r="A15" s="2" t="s">
        <v>448</v>
      </c>
      <c r="B15" s="1" t="e">
        <f ca="1">B14*SIN(B37/2*PI()/180)</f>
        <v>#NAME?</v>
      </c>
      <c r="C15" s="39" t="s">
        <v>2</v>
      </c>
      <c r="E15" s="33" t="s">
        <v>165</v>
      </c>
      <c r="F15" s="34">
        <f>PI()/4000*B18*B19*B19</f>
        <v>0.18718237348618708</v>
      </c>
      <c r="G15" s="36" t="s">
        <v>36</v>
      </c>
      <c r="I15" s="2" t="s">
        <v>103</v>
      </c>
      <c r="J15" s="1" t="e">
        <f ca="1">J14-2*J13*TAN((2-J1)*PI()/360)</f>
        <v>#NAME?</v>
      </c>
      <c r="K15" s="39" t="s">
        <v>2</v>
      </c>
      <c r="M15" s="2" t="s">
        <v>102</v>
      </c>
      <c r="N15" s="1" t="e">
        <f ca="1">N11</f>
        <v>#NAME?</v>
      </c>
      <c r="O15" s="58" t="s">
        <v>2</v>
      </c>
      <c r="Q15" s="2" t="s">
        <v>103</v>
      </c>
      <c r="R15" s="1" t="e">
        <f ca="1">N21/(1+2*Wall_Thickness(0))</f>
        <v>#NAME?</v>
      </c>
      <c r="S15" s="39" t="s">
        <v>2</v>
      </c>
      <c r="T15" s="54"/>
    </row>
    <row r="16" spans="1:21" x14ac:dyDescent="0.2">
      <c r="A16" s="2" t="s">
        <v>135</v>
      </c>
      <c r="B16" s="1" t="e">
        <f ca="1">B14*COS(B37/2*PI()/180)</f>
        <v>#NAME?</v>
      </c>
      <c r="C16" s="39" t="s">
        <v>2</v>
      </c>
      <c r="E16" s="33" t="s">
        <v>166</v>
      </c>
      <c r="F16" s="34" t="e">
        <f ca="1">PI()/12000*B35*(B19*B19+B19*B8+B8*B8)</f>
        <v>#NAME?</v>
      </c>
      <c r="G16" s="36" t="s">
        <v>36</v>
      </c>
      <c r="K16" s="39"/>
      <c r="M16" s="2" t="s">
        <v>103</v>
      </c>
      <c r="N16" s="1" t="e">
        <f ca="1">N15+2*J13*TAN(J1*0.00872664626)</f>
        <v>#NAME?</v>
      </c>
      <c r="O16" s="58" t="s">
        <v>2</v>
      </c>
      <c r="T16" s="54"/>
    </row>
    <row r="17" spans="1:21" x14ac:dyDescent="0.2">
      <c r="A17" s="33" t="s">
        <v>137</v>
      </c>
      <c r="B17" s="34" t="e">
        <f ca="1">2*B21</f>
        <v>#NAME?</v>
      </c>
      <c r="C17" s="35" t="s">
        <v>2</v>
      </c>
      <c r="E17" s="33" t="s">
        <v>167</v>
      </c>
      <c r="F17" s="34" t="e">
        <f ca="1">B10</f>
        <v>#NAME?</v>
      </c>
      <c r="G17" s="36" t="s">
        <v>36</v>
      </c>
      <c r="I17" s="32" t="s">
        <v>106</v>
      </c>
      <c r="J17" s="37" t="e">
        <f ca="1">IF(J19=J20,"Cylindrical","Conical")</f>
        <v>#NAME?</v>
      </c>
      <c r="K17" s="39"/>
      <c r="M17" s="32" t="s">
        <v>106</v>
      </c>
      <c r="N17" s="37" t="e">
        <f ca="1">IF(N21=N20,"Cylindrical","Conical")</f>
        <v>#NAME?</v>
      </c>
      <c r="O17" s="58"/>
      <c r="Q17" s="32" t="s">
        <v>626</v>
      </c>
      <c r="T17" s="54"/>
    </row>
    <row r="18" spans="1:21" x14ac:dyDescent="0.2">
      <c r="A18" s="33" t="s">
        <v>445</v>
      </c>
      <c r="B18" s="34">
        <f>Projectile!J15-Projectile!J16</f>
        <v>6.1999999999999993</v>
      </c>
      <c r="C18" s="35" t="s">
        <v>2</v>
      </c>
      <c r="E18" s="33" t="s">
        <v>168</v>
      </c>
      <c r="F18" s="34" t="e">
        <f ca="1">PI()/4000*F5*F7*F7</f>
        <v>#NAME?</v>
      </c>
      <c r="G18" s="36" t="s">
        <v>36</v>
      </c>
      <c r="I18" s="2" t="s">
        <v>101</v>
      </c>
      <c r="J18" s="1" t="e">
        <f ca="1">B7-J8-J13</f>
        <v>#NAME?</v>
      </c>
      <c r="K18" s="39" t="s">
        <v>2</v>
      </c>
      <c r="M18" s="2" t="s">
        <v>111</v>
      </c>
      <c r="N18" s="1" t="e">
        <f ca="1">N14</f>
        <v>#NAME?</v>
      </c>
      <c r="O18" s="58" t="s">
        <v>2</v>
      </c>
      <c r="P18" s="55"/>
      <c r="Q18" s="2" t="s">
        <v>108</v>
      </c>
      <c r="R18" s="1" t="e">
        <f ca="1">B7-R20</f>
        <v>#NAME?</v>
      </c>
      <c r="S18" s="39" t="s">
        <v>2</v>
      </c>
      <c r="T18" s="54"/>
    </row>
    <row r="19" spans="1:21" x14ac:dyDescent="0.2">
      <c r="A19" s="2" t="s">
        <v>444</v>
      </c>
      <c r="B19" s="1">
        <f>Projectile!B9</f>
        <v>6.2</v>
      </c>
      <c r="C19" s="39" t="s">
        <v>2</v>
      </c>
      <c r="D19" s="101"/>
      <c r="E19" s="33" t="s">
        <v>169</v>
      </c>
      <c r="F19" s="34" t="e">
        <f ca="1">PI()/4000*F6*F8*F8</f>
        <v>#NAME?</v>
      </c>
      <c r="G19" s="36" t="s">
        <v>36</v>
      </c>
      <c r="I19" s="2" t="s">
        <v>102</v>
      </c>
      <c r="J19" s="1" t="e">
        <f ca="1">J15</f>
        <v>#NAME?</v>
      </c>
      <c r="K19" s="39" t="s">
        <v>2</v>
      </c>
      <c r="M19" s="2" t="s">
        <v>112</v>
      </c>
      <c r="N19" s="1" t="e">
        <f ca="1">(N21-J20)/2</f>
        <v>#NAME?</v>
      </c>
      <c r="O19" s="58" t="s">
        <v>2</v>
      </c>
      <c r="Q19" s="2" t="s">
        <v>107</v>
      </c>
      <c r="R19" s="1" t="e">
        <f ca="1">R22-R20/SQRT(1-R24*R24)</f>
        <v>#NAME?</v>
      </c>
      <c r="S19" s="39" t="s">
        <v>2</v>
      </c>
      <c r="T19" s="54"/>
    </row>
    <row r="20" spans="1:21" x14ac:dyDescent="0.2">
      <c r="A20" s="38" t="s">
        <v>442</v>
      </c>
      <c r="E20" s="33"/>
      <c r="F20" s="34"/>
      <c r="G20" s="36"/>
      <c r="I20" s="2" t="s">
        <v>103</v>
      </c>
      <c r="J20" s="1" t="e">
        <f ca="1">N21/(1+2*N4)</f>
        <v>#NAME?</v>
      </c>
      <c r="K20" s="39" t="s">
        <v>2</v>
      </c>
      <c r="M20" s="2" t="s">
        <v>102</v>
      </c>
      <c r="N20" s="1" t="e">
        <f ca="1">N16</f>
        <v>#NAME?</v>
      </c>
      <c r="O20" s="58" t="s">
        <v>2</v>
      </c>
      <c r="Q20" s="2" t="s">
        <v>109</v>
      </c>
      <c r="R20" s="1" t="e">
        <f ca="1">(N21-R15)/2</f>
        <v>#NAME?</v>
      </c>
      <c r="S20" s="39" t="s">
        <v>2</v>
      </c>
      <c r="T20" s="54"/>
      <c r="U20" s="102"/>
    </row>
    <row r="21" spans="1:21" x14ac:dyDescent="0.2">
      <c r="A21" s="33" t="s">
        <v>138</v>
      </c>
      <c r="B21" s="34" t="e">
        <f ca="1">B14</f>
        <v>#NAME?</v>
      </c>
      <c r="C21" s="35" t="s">
        <v>2</v>
      </c>
      <c r="E21" s="42" t="s">
        <v>170</v>
      </c>
      <c r="F21" s="43" t="e">
        <f ca="1">F22+F23+F24+F25+F26+F27+F28</f>
        <v>#NAME?</v>
      </c>
      <c r="G21" s="47" t="s">
        <v>36</v>
      </c>
      <c r="K21" s="39"/>
      <c r="M21" s="2" t="s">
        <v>103</v>
      </c>
      <c r="N21" s="1" t="e">
        <f ca="1">N20+2*J18*TAN(J1*0.00872664626)</f>
        <v>#NAME?</v>
      </c>
      <c r="O21" s="58" t="s">
        <v>2</v>
      </c>
      <c r="Q21" s="2" t="s">
        <v>114</v>
      </c>
      <c r="R21" s="1" t="e">
        <f ca="1">R18-R20*R24/SQRT(1+R24*R24)</f>
        <v>#NAME?</v>
      </c>
      <c r="S21" s="39" t="s">
        <v>2</v>
      </c>
      <c r="T21" s="54"/>
    </row>
    <row r="22" spans="1:21" x14ac:dyDescent="0.2">
      <c r="A22" s="33" t="s">
        <v>134</v>
      </c>
      <c r="B22" s="34" t="e">
        <f ca="1">B18-B15</f>
        <v>#NAME?</v>
      </c>
      <c r="C22" s="35" t="s">
        <v>2</v>
      </c>
      <c r="E22" s="33" t="s">
        <v>171</v>
      </c>
      <c r="F22" s="34" t="e">
        <f ca="1">IF(C4="Straight",0,PI()/4000*B23*B23*B22)</f>
        <v>#NAME?</v>
      </c>
      <c r="G22" s="36" t="s">
        <v>36</v>
      </c>
      <c r="I22" s="32" t="s">
        <v>113</v>
      </c>
      <c r="J22" s="37"/>
      <c r="K22" s="39"/>
      <c r="Q22" s="2" t="s">
        <v>115</v>
      </c>
      <c r="R22" s="1" t="e">
        <f ca="1">Conical(R21,B7-R13,R13,R14,R15,1)</f>
        <v>#NAME?</v>
      </c>
      <c r="S22" s="39" t="s">
        <v>2</v>
      </c>
      <c r="T22" s="54"/>
    </row>
    <row r="23" spans="1:21" x14ac:dyDescent="0.2">
      <c r="A23" s="42" t="s">
        <v>139</v>
      </c>
      <c r="B23" s="43" t="e">
        <f ca="1">B19+2*B16</f>
        <v>#NAME?</v>
      </c>
      <c r="C23" s="44" t="s">
        <v>2</v>
      </c>
      <c r="E23" s="33" t="s">
        <v>172</v>
      </c>
      <c r="F23" s="34" t="e">
        <f ca="1">IF(C4="Straight",0,PI()/12000*B40*(B41*B41+B23*B23+B23*B41))</f>
        <v>#NAME?</v>
      </c>
      <c r="G23" s="36" t="s">
        <v>36</v>
      </c>
      <c r="I23" s="2" t="s">
        <v>108</v>
      </c>
      <c r="J23" s="1" t="e">
        <f ca="1">B7-J25</f>
        <v>#NAME?</v>
      </c>
      <c r="K23" s="39" t="s">
        <v>2</v>
      </c>
      <c r="Q23" s="2" t="s">
        <v>268</v>
      </c>
      <c r="R23" s="1" t="e">
        <f ca="1">(N10+2*R18*TAN(J1*0.00872664626)-2*R22)/2</f>
        <v>#NAME?</v>
      </c>
      <c r="S23" s="39" t="s">
        <v>2</v>
      </c>
    </row>
    <row r="24" spans="1:21" x14ac:dyDescent="0.2">
      <c r="A24" s="33" t="s">
        <v>267</v>
      </c>
      <c r="B24" s="34">
        <f>Projectile!B9/100</f>
        <v>6.2E-2</v>
      </c>
      <c r="C24" s="35" t="s">
        <v>2</v>
      </c>
      <c r="E24" s="33" t="s">
        <v>173</v>
      </c>
      <c r="F24" s="34" t="e">
        <f ca="1">PI()/12000*IF(C4="Straight",(B45+B40+B22)*(B48*B48+B23*B23+B23*B48),B45*(B48*B48+B41*B41+B41*B48))</f>
        <v>#NAME?</v>
      </c>
      <c r="G24" s="36" t="s">
        <v>36</v>
      </c>
      <c r="I24" s="2" t="s">
        <v>107</v>
      </c>
      <c r="J24" s="1" t="e">
        <f ca="1">J27-J25/SQRT(1-J29*J29)</f>
        <v>#NAME?</v>
      </c>
      <c r="K24" s="39" t="s">
        <v>2</v>
      </c>
      <c r="Q24" s="2" t="s">
        <v>116</v>
      </c>
      <c r="R24" s="1" t="e">
        <f ca="1">Ddx_Conical(B7,R8,R13,R14,R15,1)</f>
        <v>#NAME?</v>
      </c>
      <c r="S24" s="39" t="s">
        <v>3</v>
      </c>
    </row>
    <row r="25" spans="1:21" x14ac:dyDescent="0.2">
      <c r="A25" s="33" t="s">
        <v>136</v>
      </c>
      <c r="B25" s="34" t="e">
        <f ca="1">SQRT(B23*B23-POWER(Projectile!B9,2)+POWER(Projectile!J23,2))</f>
        <v>#NAME?</v>
      </c>
      <c r="C25" s="35" t="s">
        <v>2</v>
      </c>
      <c r="E25" s="33" t="s">
        <v>174</v>
      </c>
      <c r="F25" s="34" t="e">
        <f ca="1">PI()/12000*B52*(B48*B48+B57*B57+B57*B48)</f>
        <v>#NAME?</v>
      </c>
      <c r="G25" s="36" t="s">
        <v>36</v>
      </c>
      <c r="I25" s="2" t="s">
        <v>109</v>
      </c>
      <c r="J25" s="1" t="e">
        <f ca="1">N19</f>
        <v>#NAME?</v>
      </c>
      <c r="K25" s="39" t="s">
        <v>2</v>
      </c>
      <c r="L25" s="55"/>
      <c r="Q25" s="90" t="s">
        <v>101</v>
      </c>
      <c r="R25" s="138" t="e">
        <f ca="1">B7-R21</f>
        <v>#NAME?</v>
      </c>
      <c r="S25" s="116" t="s">
        <v>2</v>
      </c>
    </row>
    <row r="26" spans="1:21" x14ac:dyDescent="0.2">
      <c r="A26" s="2" t="s">
        <v>270</v>
      </c>
      <c r="B26" s="1" t="e">
        <f ca="1">SQRT(B23*B23-B18*B18+(B18-B24)*(B18-B24))</f>
        <v>#NAME?</v>
      </c>
      <c r="C26" s="39" t="s">
        <v>2</v>
      </c>
      <c r="E26" s="33" t="s">
        <v>175</v>
      </c>
      <c r="F26" s="34">
        <f>PI()/4000*B57*B57*B53</f>
        <v>7.0882184246619712E-2</v>
      </c>
      <c r="G26" s="36" t="s">
        <v>36</v>
      </c>
      <c r="I26" s="2" t="s">
        <v>114</v>
      </c>
      <c r="J26" s="1" t="e">
        <f ca="1">J23-J25*J29/SQRT(1+J29*J29)</f>
        <v>#NAME?</v>
      </c>
      <c r="K26" s="39" t="s">
        <v>2</v>
      </c>
      <c r="Q26" s="90" t="s">
        <v>102</v>
      </c>
      <c r="R26" s="138" t="e">
        <f ca="1">2*R22</f>
        <v>#NAME?</v>
      </c>
      <c r="S26" s="116" t="s">
        <v>2</v>
      </c>
    </row>
    <row r="27" spans="1:21" x14ac:dyDescent="0.2">
      <c r="E27" s="33" t="s">
        <v>176</v>
      </c>
      <c r="F27" s="34">
        <f>PI()/4000*B58*B58*B55</f>
        <v>0.10028749148422018</v>
      </c>
      <c r="G27" s="36" t="s">
        <v>36</v>
      </c>
      <c r="I27" s="2" t="s">
        <v>115</v>
      </c>
      <c r="J27" s="1" t="e">
        <f ca="1">Conical(J26,B7-J18,J18,J19,J20,1)</f>
        <v>#NAME?</v>
      </c>
      <c r="K27" s="39" t="s">
        <v>2</v>
      </c>
      <c r="L27" s="55"/>
      <c r="Q27" s="90" t="s">
        <v>103</v>
      </c>
      <c r="R27" s="138" t="e">
        <f ca="1">2*R19</f>
        <v>#NAME?</v>
      </c>
      <c r="S27" s="116" t="s">
        <v>2</v>
      </c>
    </row>
    <row r="28" spans="1:21" x14ac:dyDescent="0.2">
      <c r="A28" s="46" t="s">
        <v>140</v>
      </c>
      <c r="E28" s="33" t="s">
        <v>177</v>
      </c>
      <c r="F28" s="34">
        <f>PI()/12000*B56*(B59*B59+B58*B58+B58*B59)</f>
        <v>4.5837145812814083E-2</v>
      </c>
      <c r="G28" s="36" t="s">
        <v>36</v>
      </c>
      <c r="I28" s="2" t="s">
        <v>268</v>
      </c>
      <c r="J28" s="1" t="e">
        <f ca="1">(N10+2*J23*TAN(J1*0.00872664626)-2*J27)/2</f>
        <v>#NAME?</v>
      </c>
      <c r="K28" s="39" t="s">
        <v>2</v>
      </c>
      <c r="L28" s="55"/>
      <c r="P28" s="55"/>
      <c r="Q28" s="90"/>
      <c r="R28" s="138"/>
      <c r="S28" s="116"/>
    </row>
    <row r="29" spans="1:21" x14ac:dyDescent="0.2">
      <c r="A29" s="2" t="s">
        <v>394</v>
      </c>
      <c r="B29" s="102" t="str">
        <f>IF(Summary!B1="Custom",Summary!B20,Summary!F20)</f>
        <v>Yes at</v>
      </c>
      <c r="C29" s="161">
        <f>IF(Summary!B1="Custom",Summary!C20,Summary!G20)</f>
        <v>0.5</v>
      </c>
      <c r="D29" s="2" t="s">
        <v>405</v>
      </c>
      <c r="E29" s="33"/>
      <c r="F29" s="34"/>
      <c r="G29" s="36"/>
      <c r="I29" s="2" t="s">
        <v>116</v>
      </c>
      <c r="J29" s="1" t="e">
        <f ca="1">Ddx_Conical(J18, J8+J13,J18, J19, J20,1)</f>
        <v>#NAME?</v>
      </c>
      <c r="K29" s="39" t="s">
        <v>3</v>
      </c>
    </row>
    <row r="30" spans="1:21" x14ac:dyDescent="0.2">
      <c r="A30" s="38" t="s">
        <v>439</v>
      </c>
      <c r="E30" s="42" t="s">
        <v>178</v>
      </c>
      <c r="F30" s="43" t="e">
        <f ca="1">F21-F14</f>
        <v>#NAME?</v>
      </c>
      <c r="G30" s="47" t="s">
        <v>36</v>
      </c>
      <c r="I30" s="2" t="s">
        <v>101</v>
      </c>
      <c r="J30" s="1" t="e">
        <f ca="1">B7-J26</f>
        <v>#NAME?</v>
      </c>
      <c r="K30" s="39" t="s">
        <v>2</v>
      </c>
      <c r="Q30" s="89" t="s">
        <v>178</v>
      </c>
      <c r="R30" s="139" t="e">
        <f ca="1">F21-R38</f>
        <v>#NAME?</v>
      </c>
      <c r="S30" s="165" t="s">
        <v>36</v>
      </c>
    </row>
    <row r="31" spans="1:21" x14ac:dyDescent="0.2">
      <c r="A31" s="33" t="s">
        <v>142</v>
      </c>
      <c r="B31" s="34" t="e">
        <f ca="1">N8</f>
        <v>#NAME?</v>
      </c>
      <c r="C31" s="35" t="s">
        <v>2</v>
      </c>
      <c r="D31" s="54"/>
      <c r="E31" s="33"/>
      <c r="F31" s="34"/>
      <c r="G31" s="36"/>
      <c r="I31" s="2" t="s">
        <v>102</v>
      </c>
      <c r="J31" s="1" t="e">
        <f ca="1">2*J27</f>
        <v>#NAME?</v>
      </c>
      <c r="K31" s="39" t="s">
        <v>2</v>
      </c>
      <c r="Q31" s="90"/>
      <c r="R31" s="138"/>
      <c r="S31" s="116"/>
    </row>
    <row r="32" spans="1:21" x14ac:dyDescent="0.2">
      <c r="A32" s="33" t="s">
        <v>441</v>
      </c>
      <c r="B32" s="34" t="e">
        <f ca="1">B31*COS(J1*PI()/180)/COS((B37/2-J1)*PI()/180)</f>
        <v>#NAME?</v>
      </c>
      <c r="C32" s="35" t="s">
        <v>2</v>
      </c>
      <c r="E32" s="42" t="s">
        <v>391</v>
      </c>
      <c r="F32" s="43" t="e">
        <f ca="1">F14-F19</f>
        <v>#NAME?</v>
      </c>
      <c r="G32" s="47" t="s">
        <v>36</v>
      </c>
      <c r="I32" s="2" t="s">
        <v>103</v>
      </c>
      <c r="J32" s="1" t="e">
        <f ca="1">2*J24</f>
        <v>#NAME?</v>
      </c>
      <c r="K32" s="39" t="s">
        <v>2</v>
      </c>
      <c r="Q32" s="42" t="s">
        <v>391</v>
      </c>
      <c r="R32" s="43" t="e">
        <f ca="1">R38-F19</f>
        <v>#NAME?</v>
      </c>
      <c r="S32" s="47" t="s">
        <v>36</v>
      </c>
    </row>
    <row r="33" spans="1:19" x14ac:dyDescent="0.2">
      <c r="A33" s="33" t="s">
        <v>143</v>
      </c>
      <c r="B33" s="34" t="e">
        <f ca="1">B32</f>
        <v>#NAME?</v>
      </c>
      <c r="C33" s="35" t="s">
        <v>2</v>
      </c>
      <c r="E33" s="33"/>
      <c r="G33" s="36"/>
      <c r="K33" s="39"/>
      <c r="Q33" s="90"/>
      <c r="R33" s="138"/>
      <c r="S33" s="116"/>
    </row>
    <row r="34" spans="1:19" x14ac:dyDescent="0.2">
      <c r="A34" s="2" t="s">
        <v>448</v>
      </c>
      <c r="B34" s="34" t="e">
        <f ca="1">B32*SIN(B37/2*PI()/180)</f>
        <v>#NAME?</v>
      </c>
      <c r="C34" s="35" t="s">
        <v>2</v>
      </c>
      <c r="E34" s="32" t="s">
        <v>392</v>
      </c>
      <c r="F34" s="37" t="e">
        <f ca="1">B10+F16-Projectile!B42</f>
        <v>#NAME?</v>
      </c>
      <c r="G34" s="47" t="s">
        <v>36</v>
      </c>
      <c r="Q34" s="89" t="s">
        <v>392</v>
      </c>
      <c r="R34" s="139" t="e">
        <f ca="1">R36+F16-Projectile!R42</f>
        <v>#NAME?</v>
      </c>
      <c r="S34" s="165" t="s">
        <v>36</v>
      </c>
    </row>
    <row r="35" spans="1:19" x14ac:dyDescent="0.2">
      <c r="A35" s="33" t="s">
        <v>446</v>
      </c>
      <c r="B35" s="34" t="e">
        <f ca="1">IF(AND(B29="Yes at",Projectile!N2&gt;C29),Projectile!B9*C29,Projectile!N14)</f>
        <v>#NAME?</v>
      </c>
      <c r="C35" s="35" t="s">
        <v>2</v>
      </c>
      <c r="F35" s="103"/>
    </row>
    <row r="36" spans="1:19" x14ac:dyDescent="0.2">
      <c r="A36" s="2" t="s">
        <v>205</v>
      </c>
      <c r="B36" s="1" t="e">
        <f ca="1">J9</f>
        <v>#NAME?</v>
      </c>
      <c r="C36" s="39" t="s">
        <v>2</v>
      </c>
      <c r="E36" s="32" t="s">
        <v>393</v>
      </c>
      <c r="F36" s="37" t="e">
        <f ca="1">F2*Projectile!B25+Case!F18</f>
        <v>#NAME?</v>
      </c>
      <c r="G36" s="83" t="s">
        <v>36</v>
      </c>
      <c r="Q36" s="89" t="s">
        <v>167</v>
      </c>
      <c r="R36" s="139" t="e">
        <f ca="1">Vol_Conical(0,R8,0,R8,R9,R10,1)+Vol_Conical(0,R13-B7+R21,0,R13,R14,R15,1)+Vol_Elliptical(0,B7-R21,0,R19,R20,R20)</f>
        <v>#NAME?</v>
      </c>
      <c r="S36" s="165" t="s">
        <v>36</v>
      </c>
    </row>
    <row r="37" spans="1:19" x14ac:dyDescent="0.2">
      <c r="A37" s="2" t="s">
        <v>440</v>
      </c>
      <c r="B37" s="1" t="e">
        <f ca="1">ATAN((B36-Projectile!B9)/(2*B35))*180/PI()</f>
        <v>#NAME?</v>
      </c>
      <c r="C37" s="39" t="s">
        <v>27</v>
      </c>
    </row>
    <row r="38" spans="1:19" x14ac:dyDescent="0.2">
      <c r="A38" s="38" t="s">
        <v>442</v>
      </c>
      <c r="E38" s="42" t="s">
        <v>180</v>
      </c>
      <c r="F38" s="43" t="e">
        <f ca="1">IF(U3="Steel",Common_Projectiles!B1,J2)*F30</f>
        <v>#NAME?</v>
      </c>
      <c r="G38" s="47" t="s">
        <v>87</v>
      </c>
      <c r="Q38" s="89" t="s">
        <v>164</v>
      </c>
      <c r="R38" s="139" t="e">
        <f ca="1">R36+F15+F16+F18+F19</f>
        <v>#NAME?</v>
      </c>
      <c r="S38" s="165" t="s">
        <v>36</v>
      </c>
    </row>
    <row r="39" spans="1:19" x14ac:dyDescent="0.2">
      <c r="A39" s="33" t="s">
        <v>144</v>
      </c>
      <c r="B39" s="34" t="e">
        <f ca="1">2*B33</f>
        <v>#NAME?</v>
      </c>
      <c r="C39" s="35" t="s">
        <v>2</v>
      </c>
      <c r="E39" s="33"/>
      <c r="F39" s="34"/>
      <c r="G39" s="36"/>
      <c r="Q39" s="42"/>
      <c r="R39" s="43"/>
      <c r="S39" s="47"/>
    </row>
    <row r="40" spans="1:19" x14ac:dyDescent="0.2">
      <c r="A40" s="33" t="s">
        <v>447</v>
      </c>
      <c r="B40" s="1" t="e">
        <f ca="1">B35-B34+B15</f>
        <v>#NAME?</v>
      </c>
      <c r="C40" s="15" t="s">
        <v>2</v>
      </c>
      <c r="E40" s="42" t="s">
        <v>181</v>
      </c>
      <c r="F40" s="43" t="e">
        <f ca="1">B22+B40+B45+B51</f>
        <v>#NAME?</v>
      </c>
      <c r="G40" s="47" t="s">
        <v>2</v>
      </c>
      <c r="Q40" s="32" t="s">
        <v>706</v>
      </c>
      <c r="R40" s="37" t="e">
        <f ca="1">R32-F32</f>
        <v>#NAME?</v>
      </c>
      <c r="S40" s="83" t="s">
        <v>36</v>
      </c>
    </row>
    <row r="41" spans="1:19" x14ac:dyDescent="0.2">
      <c r="A41" s="42" t="s">
        <v>141</v>
      </c>
      <c r="B41" s="43" t="e">
        <f ca="1">N10-2*B34*TAN(J1*PI()/180)</f>
        <v>#NAME?</v>
      </c>
      <c r="C41" s="44" t="s">
        <v>2</v>
      </c>
      <c r="E41" s="33"/>
      <c r="F41" s="34"/>
      <c r="G41" s="36"/>
      <c r="Q41" s="32"/>
      <c r="R41" s="37"/>
      <c r="S41" s="47"/>
    </row>
    <row r="42" spans="1:19" x14ac:dyDescent="0.2">
      <c r="A42" s="42" t="s">
        <v>145</v>
      </c>
      <c r="B42" s="43" t="e">
        <f ca="1">2*ATAN((B41-B23)/(2*B40))*180/PI()</f>
        <v>#NAME?</v>
      </c>
      <c r="C42" s="44" t="s">
        <v>27</v>
      </c>
      <c r="E42" s="42" t="s">
        <v>184</v>
      </c>
      <c r="F42" s="43" t="e">
        <f ca="1">F40+Projectile!F18+Projectile!J16</f>
        <v>#NAME?</v>
      </c>
      <c r="G42" s="47" t="s">
        <v>2</v>
      </c>
      <c r="Q42" s="89" t="s">
        <v>180</v>
      </c>
      <c r="R42" s="139" t="e">
        <f ca="1">R30*Common_Projectiles!B1</f>
        <v>#NAME?</v>
      </c>
      <c r="S42" s="165" t="s">
        <v>87</v>
      </c>
    </row>
    <row r="44" spans="1:19" x14ac:dyDescent="0.2">
      <c r="A44" s="46" t="s">
        <v>146</v>
      </c>
      <c r="B44" s="34"/>
      <c r="C44" s="35"/>
      <c r="Q44" s="32" t="s">
        <v>708</v>
      </c>
      <c r="R44" s="139" t="e">
        <f ca="1">F38-R42</f>
        <v>#NAME?</v>
      </c>
      <c r="S44" s="165" t="s">
        <v>87</v>
      </c>
    </row>
    <row r="45" spans="1:19" x14ac:dyDescent="0.2">
      <c r="A45" s="33" t="s">
        <v>147</v>
      </c>
      <c r="B45" s="34" t="e">
        <f ca="1">B7+B47+B34+F6-B51</f>
        <v>#NAME?</v>
      </c>
      <c r="C45" s="35" t="s">
        <v>2</v>
      </c>
    </row>
    <row r="46" spans="1:19" x14ac:dyDescent="0.2">
      <c r="A46" s="33" t="s">
        <v>148</v>
      </c>
      <c r="B46" s="34" t="e">
        <f ca="1">J25</f>
        <v>#NAME?</v>
      </c>
      <c r="C46" s="35" t="s">
        <v>2</v>
      </c>
      <c r="Q46" s="90"/>
      <c r="R46" s="138"/>
      <c r="S46" s="116"/>
    </row>
    <row r="47" spans="1:19" x14ac:dyDescent="0.2">
      <c r="A47" s="33" t="s">
        <v>149</v>
      </c>
      <c r="B47" s="34" t="e">
        <f ca="1">F5</f>
        <v>#NAME?</v>
      </c>
      <c r="C47" s="35" t="s">
        <v>2</v>
      </c>
    </row>
    <row r="48" spans="1:19" x14ac:dyDescent="0.2">
      <c r="A48" s="42" t="s">
        <v>150</v>
      </c>
      <c r="B48" s="43" t="e">
        <f ca="1">B41+2*B45*TAN(J1*PI()/360)</f>
        <v>#NAME?</v>
      </c>
      <c r="C48" s="44" t="s">
        <v>2</v>
      </c>
    </row>
    <row r="49" spans="1:11" x14ac:dyDescent="0.2">
      <c r="A49" s="33"/>
      <c r="C49" s="149"/>
      <c r="D49" s="1"/>
    </row>
    <row r="50" spans="1:11" x14ac:dyDescent="0.2">
      <c r="A50" s="46" t="s">
        <v>151</v>
      </c>
      <c r="B50" s="33"/>
      <c r="C50" s="35"/>
    </row>
    <row r="51" spans="1:11" x14ac:dyDescent="0.2">
      <c r="A51" s="33" t="s">
        <v>152</v>
      </c>
      <c r="B51" s="34">
        <f>IF(U1,Summary!B22,IF(U2,Summary!F22,F6))</f>
        <v>3.2</v>
      </c>
      <c r="C51" s="35" t="s">
        <v>2</v>
      </c>
    </row>
    <row r="52" spans="1:11" x14ac:dyDescent="0.2">
      <c r="A52" s="33" t="s">
        <v>153</v>
      </c>
      <c r="B52" s="34">
        <f>IF(OR(U1,U2),B51-B53-B54,IF(B4="Rimmed",0.16,0.3)*F6)</f>
        <v>0.70000000000000018</v>
      </c>
      <c r="C52" s="35" t="s">
        <v>2</v>
      </c>
    </row>
    <row r="53" spans="1:11" x14ac:dyDescent="0.2">
      <c r="A53" s="33" t="s">
        <v>154</v>
      </c>
      <c r="B53" s="34">
        <f>IF(U1,Summary!B23,IF(U2,Summary!F23,IF(B4="Rimmed",0.36,0.3)*F6))</f>
        <v>1</v>
      </c>
      <c r="C53" s="35" t="s">
        <v>2</v>
      </c>
    </row>
    <row r="54" spans="1:11" x14ac:dyDescent="0.2">
      <c r="A54" s="42" t="s">
        <v>155</v>
      </c>
      <c r="B54" s="43">
        <f>IF(U1,Summary!B24,IF(U2,Summary!F24,B55+B56))</f>
        <v>1.5</v>
      </c>
      <c r="C54" s="44" t="s">
        <v>2</v>
      </c>
    </row>
    <row r="55" spans="1:11" x14ac:dyDescent="0.2">
      <c r="A55" s="33" t="s">
        <v>156</v>
      </c>
      <c r="B55" s="34">
        <f>IF(U1,Summary!B24-Summary!B25,IF(U2,Summary!F24-Summary!F25,IF(B4="Rimmed",0.36,0.3)*F6))</f>
        <v>1</v>
      </c>
      <c r="C55" s="35" t="s">
        <v>2</v>
      </c>
    </row>
    <row r="56" spans="1:11" x14ac:dyDescent="0.2">
      <c r="A56" s="33" t="s">
        <v>157</v>
      </c>
      <c r="B56" s="34">
        <f>IF(U1,Summary!B25,IF(U2,Summary!F25,IF(B4="Rimmed",0.12,0.1)*F6))</f>
        <v>0.5</v>
      </c>
      <c r="C56" s="35" t="s">
        <v>2</v>
      </c>
    </row>
    <row r="57" spans="1:11" x14ac:dyDescent="0.2">
      <c r="A57" s="33" t="s">
        <v>158</v>
      </c>
      <c r="B57" s="34">
        <f>IF(U1,Summary!B26,IF(U2,Summary!F26,IF(B4="Rimmed",B48*0.935,MAX(0.85*B58,F8+2*B47,B58-2*B54))))</f>
        <v>9.5</v>
      </c>
      <c r="C57" s="35" t="s">
        <v>2</v>
      </c>
    </row>
    <row r="58" spans="1:11" x14ac:dyDescent="0.2">
      <c r="A58" s="42" t="s">
        <v>159</v>
      </c>
      <c r="B58" s="43">
        <f>IF(U1,Summary!B27,IF(U2,Summary!F27,IF(B4="Rimmed",1.15*B48,B48+2*(0.6*F6+B46)*TAN(J1*PI()/360))))</f>
        <v>11.3</v>
      </c>
      <c r="C58" s="44" t="s">
        <v>2</v>
      </c>
    </row>
    <row r="59" spans="1:11" x14ac:dyDescent="0.2">
      <c r="A59" s="33" t="s">
        <v>160</v>
      </c>
      <c r="B59" s="34">
        <f>B58-2*B56*(TAN(B61*PI()/180))</f>
        <v>10.3</v>
      </c>
      <c r="C59" s="35" t="s">
        <v>2</v>
      </c>
    </row>
    <row r="60" spans="1:11" x14ac:dyDescent="0.2">
      <c r="A60" s="33" t="s">
        <v>162</v>
      </c>
      <c r="B60" s="34" t="e">
        <f ca="1">IF(B52=0,0,-ATAN((B57-B48)/(2*B52))*180/PI())</f>
        <v>#NAME?</v>
      </c>
      <c r="C60" s="35" t="s">
        <v>27</v>
      </c>
    </row>
    <row r="61" spans="1:11" x14ac:dyDescent="0.2">
      <c r="A61" s="33" t="s">
        <v>161</v>
      </c>
      <c r="B61" s="34">
        <f>IF(U1,Summary!B28,IF(U2,Summary!F28,45))</f>
        <v>45</v>
      </c>
      <c r="C61" s="35" t="s">
        <v>27</v>
      </c>
      <c r="K61" s="58"/>
    </row>
  </sheetData>
  <phoneticPr fontId="8" type="noConversion"/>
  <pageMargins left="0.7" right="0.7" top="0.75" bottom="0.75" header="0.3" footer="0.3"/>
  <pageSetup orientation="portrait" r:id="rId1"/>
  <ignoredErrors>
    <ignoredError sqref="F6 N19 N14" formula="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AA118"/>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RowHeight="12.75" customHeight="1" x14ac:dyDescent="0.2"/>
  <cols>
    <col min="1" max="1" width="18.42578125" style="90" bestFit="1" customWidth="1"/>
    <col min="2" max="2" width="20.42578125" style="90" bestFit="1" customWidth="1"/>
    <col min="3" max="3" width="26.42578125" style="91" customWidth="1"/>
    <col min="4" max="4" width="19.5703125" style="92" customWidth="1"/>
    <col min="5" max="5" width="19.7109375" style="92" customWidth="1"/>
    <col min="6" max="6" width="18.42578125" style="92" customWidth="1"/>
    <col min="7" max="8" width="12.7109375" style="92" customWidth="1"/>
    <col min="9" max="9" width="24" style="92" customWidth="1"/>
    <col min="10" max="10" width="25" style="92" customWidth="1"/>
    <col min="11" max="11" width="30.5703125" style="93" customWidth="1"/>
    <col min="12" max="12" width="14.42578125" style="92" bestFit="1" customWidth="1"/>
    <col min="13" max="13" width="22" style="92" bestFit="1" customWidth="1"/>
    <col min="14" max="14" width="14.42578125" style="92" customWidth="1"/>
    <col min="15" max="15" width="22" style="92" bestFit="1" customWidth="1"/>
    <col min="16" max="16" width="14.42578125" style="92" customWidth="1"/>
    <col min="17" max="17" width="20.5703125" style="92" bestFit="1" customWidth="1"/>
    <col min="18" max="18" width="21.7109375" style="92" bestFit="1" customWidth="1"/>
    <col min="19" max="19" width="27.85546875" style="92" bestFit="1" customWidth="1"/>
    <col min="20" max="20" width="19.5703125" style="92" bestFit="1" customWidth="1"/>
    <col min="21" max="21" width="21.140625" style="92" bestFit="1" customWidth="1"/>
    <col min="22" max="22" width="24.42578125" style="92" bestFit="1" customWidth="1"/>
    <col min="23" max="23" width="21.42578125" style="92" bestFit="1" customWidth="1"/>
    <col min="24" max="24" width="21.7109375" style="92" bestFit="1" customWidth="1"/>
    <col min="25" max="25" width="15.85546875" style="92" bestFit="1" customWidth="1"/>
    <col min="26" max="26" width="16.28515625" style="90" bestFit="1" customWidth="1"/>
    <col min="27" max="16384" width="9.140625" style="90"/>
  </cols>
  <sheetData>
    <row r="1" spans="1:27" ht="12.75" customHeight="1" x14ac:dyDescent="0.2">
      <c r="A1" s="122" t="s">
        <v>352</v>
      </c>
      <c r="B1" s="122" t="s">
        <v>353</v>
      </c>
      <c r="C1" s="123" t="s">
        <v>348</v>
      </c>
      <c r="D1" s="124" t="s">
        <v>349</v>
      </c>
      <c r="E1" s="124" t="s">
        <v>350</v>
      </c>
      <c r="F1" s="124" t="s">
        <v>4</v>
      </c>
      <c r="G1" s="124" t="s">
        <v>420</v>
      </c>
      <c r="H1" s="124" t="s">
        <v>695</v>
      </c>
      <c r="I1" s="124" t="s">
        <v>97</v>
      </c>
      <c r="J1" s="124" t="s">
        <v>98</v>
      </c>
      <c r="K1" s="125" t="s">
        <v>351</v>
      </c>
      <c r="L1" s="124" t="s">
        <v>209</v>
      </c>
      <c r="M1" s="124" t="s">
        <v>390</v>
      </c>
      <c r="N1" s="124" t="s">
        <v>696</v>
      </c>
      <c r="O1" s="124" t="s">
        <v>697</v>
      </c>
      <c r="P1" s="124" t="s">
        <v>696</v>
      </c>
      <c r="Q1" s="124" t="s">
        <v>704</v>
      </c>
      <c r="R1" s="159" t="s">
        <v>698</v>
      </c>
      <c r="S1" s="124" t="s">
        <v>154</v>
      </c>
      <c r="T1" s="124" t="s">
        <v>155</v>
      </c>
      <c r="U1" s="124" t="s">
        <v>157</v>
      </c>
      <c r="V1" s="124" t="s">
        <v>158</v>
      </c>
      <c r="W1" s="124" t="s">
        <v>159</v>
      </c>
      <c r="X1" s="124" t="s">
        <v>161</v>
      </c>
      <c r="Y1" s="124" t="s">
        <v>700</v>
      </c>
      <c r="Z1" s="122" t="s">
        <v>179</v>
      </c>
      <c r="AA1" s="89"/>
    </row>
    <row r="2" spans="1:27" ht="12.75" customHeight="1" x14ac:dyDescent="0.2">
      <c r="A2" s="126" t="s">
        <v>366</v>
      </c>
      <c r="B2" s="126" t="s">
        <v>563</v>
      </c>
      <c r="C2" s="127">
        <v>6.38</v>
      </c>
      <c r="D2" s="128">
        <v>0.99890000000000001</v>
      </c>
      <c r="E2" s="128">
        <v>0.55269999999999997</v>
      </c>
      <c r="F2" s="128">
        <v>0</v>
      </c>
      <c r="G2" s="128" t="s">
        <v>389</v>
      </c>
      <c r="H2" s="128" t="s">
        <v>122</v>
      </c>
      <c r="I2" s="128">
        <v>0.55710000000000004</v>
      </c>
      <c r="J2" s="128">
        <v>0.69340000000000002</v>
      </c>
      <c r="K2" s="129">
        <v>140</v>
      </c>
      <c r="L2" s="128">
        <v>1.228</v>
      </c>
      <c r="M2" s="130" t="s">
        <v>389</v>
      </c>
      <c r="N2" s="133">
        <v>0</v>
      </c>
      <c r="O2" s="130" t="s">
        <v>389</v>
      </c>
      <c r="P2" s="133">
        <v>0</v>
      </c>
      <c r="Q2" s="133" t="s">
        <v>421</v>
      </c>
      <c r="R2" s="135">
        <v>2.89</v>
      </c>
      <c r="S2" s="135">
        <v>0.7</v>
      </c>
      <c r="T2" s="135">
        <v>1.0900000000000001</v>
      </c>
      <c r="U2" s="164">
        <v>0.35</v>
      </c>
      <c r="V2" s="135">
        <v>6.24</v>
      </c>
      <c r="W2" s="135">
        <v>7.67</v>
      </c>
      <c r="X2" s="164">
        <v>35</v>
      </c>
      <c r="Y2" s="135" t="s">
        <v>701</v>
      </c>
      <c r="Z2" s="133">
        <v>5.4</v>
      </c>
    </row>
    <row r="3" spans="1:27" ht="12.75" customHeight="1" x14ac:dyDescent="0.2">
      <c r="A3" s="134" t="s">
        <v>367</v>
      </c>
      <c r="B3" s="134" t="s">
        <v>589</v>
      </c>
      <c r="C3" s="135">
        <v>7.92</v>
      </c>
      <c r="D3" s="130">
        <v>0.80759999999999998</v>
      </c>
      <c r="E3" s="130">
        <v>0.28939999999999999</v>
      </c>
      <c r="F3" s="130">
        <v>0</v>
      </c>
      <c r="G3" s="128" t="s">
        <v>389</v>
      </c>
      <c r="H3" s="128" t="s">
        <v>122</v>
      </c>
      <c r="I3" s="130">
        <v>0.82920000000000005</v>
      </c>
      <c r="J3" s="130">
        <v>1.0124</v>
      </c>
      <c r="K3" s="136">
        <v>140</v>
      </c>
      <c r="L3" s="130">
        <v>0.75</v>
      </c>
      <c r="M3" s="130" t="s">
        <v>389</v>
      </c>
      <c r="N3" s="133">
        <v>0</v>
      </c>
      <c r="O3" s="130" t="s">
        <v>389</v>
      </c>
      <c r="P3" s="133">
        <v>0</v>
      </c>
      <c r="Q3" s="133" t="s">
        <v>421</v>
      </c>
      <c r="R3" s="135">
        <v>3.3</v>
      </c>
      <c r="S3" s="135">
        <v>0.9</v>
      </c>
      <c r="T3" s="135">
        <v>1.1499999999999999</v>
      </c>
      <c r="U3" s="164">
        <v>0.38</v>
      </c>
      <c r="V3" s="135">
        <v>7.93</v>
      </c>
      <c r="W3" s="135">
        <v>9.09</v>
      </c>
      <c r="X3" s="164">
        <v>35</v>
      </c>
      <c r="Y3" s="135" t="s">
        <v>701</v>
      </c>
      <c r="Z3" s="133">
        <v>9.4</v>
      </c>
    </row>
    <row r="4" spans="1:27" ht="12.75" customHeight="1" x14ac:dyDescent="0.2">
      <c r="A4" s="126" t="s">
        <v>793</v>
      </c>
      <c r="B4" s="126" t="s">
        <v>794</v>
      </c>
      <c r="C4" s="127">
        <v>6</v>
      </c>
      <c r="D4" s="128">
        <v>1.7603</v>
      </c>
      <c r="E4" s="128">
        <v>0.35570000000000002</v>
      </c>
      <c r="F4" s="128">
        <v>0.30059999999999998</v>
      </c>
      <c r="G4" s="128" t="s">
        <v>421</v>
      </c>
      <c r="H4" s="128" t="s">
        <v>122</v>
      </c>
      <c r="I4" s="128">
        <v>0.74139999999999995</v>
      </c>
      <c r="J4" s="128">
        <v>1.6486000000000001</v>
      </c>
      <c r="K4" s="129">
        <v>330</v>
      </c>
      <c r="L4" s="128">
        <v>0.76349999999999996</v>
      </c>
      <c r="M4" s="130" t="s">
        <v>389</v>
      </c>
      <c r="N4" s="133">
        <v>0</v>
      </c>
      <c r="O4" s="130" t="s">
        <v>389</v>
      </c>
      <c r="P4" s="133">
        <v>0</v>
      </c>
      <c r="Q4" s="133" t="s">
        <v>421</v>
      </c>
      <c r="R4" s="135">
        <v>2.94</v>
      </c>
      <c r="S4" s="135">
        <v>0.85</v>
      </c>
      <c r="T4" s="135">
        <v>1.1299999999999999</v>
      </c>
      <c r="U4" s="164">
        <v>0.38</v>
      </c>
      <c r="V4" s="135">
        <v>6.79</v>
      </c>
      <c r="W4" s="135">
        <v>7.97</v>
      </c>
      <c r="X4" s="164">
        <v>45</v>
      </c>
      <c r="Y4" s="135" t="s">
        <v>702</v>
      </c>
      <c r="Z4" s="137">
        <v>9.6</v>
      </c>
    </row>
    <row r="5" spans="1:27" ht="12.75" customHeight="1" x14ac:dyDescent="0.25">
      <c r="A5" s="175" t="s">
        <v>800</v>
      </c>
      <c r="B5" s="94" t="s">
        <v>801</v>
      </c>
      <c r="C5" s="152">
        <v>4.92</v>
      </c>
      <c r="D5" s="153">
        <v>2</v>
      </c>
      <c r="E5" s="153">
        <v>0.8</v>
      </c>
      <c r="F5" s="95">
        <v>0.4</v>
      </c>
      <c r="G5" s="95" t="s">
        <v>389</v>
      </c>
      <c r="H5" s="95" t="s">
        <v>122</v>
      </c>
      <c r="I5" s="95">
        <v>0.5071</v>
      </c>
      <c r="J5" s="95">
        <v>2.1333000000000002</v>
      </c>
      <c r="K5" s="154">
        <v>350</v>
      </c>
      <c r="L5" s="95">
        <v>0.83199999999999996</v>
      </c>
      <c r="M5" s="153" t="s">
        <v>395</v>
      </c>
      <c r="N5" s="156">
        <v>0.1</v>
      </c>
      <c r="O5" s="153" t="s">
        <v>389</v>
      </c>
      <c r="P5" s="156">
        <v>0</v>
      </c>
      <c r="Q5" s="133" t="s">
        <v>421</v>
      </c>
      <c r="R5" s="135">
        <v>2.9</v>
      </c>
      <c r="S5" s="135">
        <v>0.85</v>
      </c>
      <c r="T5" s="135">
        <v>1.25</v>
      </c>
      <c r="U5" s="135">
        <v>0.4</v>
      </c>
      <c r="V5" s="135">
        <v>7.9</v>
      </c>
      <c r="W5" s="135">
        <v>9.15</v>
      </c>
      <c r="X5" s="135">
        <v>35</v>
      </c>
      <c r="Y5" s="135" t="s">
        <v>702</v>
      </c>
      <c r="Z5" s="157">
        <v>9.6999999999999993</v>
      </c>
    </row>
    <row r="6" spans="1:27" ht="12.75" customHeight="1" x14ac:dyDescent="0.2">
      <c r="A6" s="126" t="s">
        <v>795</v>
      </c>
      <c r="B6" s="126" t="s">
        <v>796</v>
      </c>
      <c r="C6" s="127">
        <v>4.28</v>
      </c>
      <c r="D6" s="128">
        <v>2.3765999999999998</v>
      </c>
      <c r="E6" s="128">
        <v>1.1978</v>
      </c>
      <c r="F6" s="128">
        <v>0.64019999999999999</v>
      </c>
      <c r="G6" s="128" t="s">
        <v>421</v>
      </c>
      <c r="H6" s="128" t="s">
        <v>122</v>
      </c>
      <c r="I6" s="128">
        <v>0.89539999999999997</v>
      </c>
      <c r="J6" s="128">
        <v>2.8765999999999998</v>
      </c>
      <c r="K6" s="129">
        <v>430</v>
      </c>
      <c r="L6" s="128">
        <v>2.4129999999999998</v>
      </c>
      <c r="M6" s="130" t="s">
        <v>389</v>
      </c>
      <c r="N6" s="133">
        <v>0</v>
      </c>
      <c r="O6" s="130" t="s">
        <v>389</v>
      </c>
      <c r="P6" s="133">
        <v>0</v>
      </c>
      <c r="Q6" s="133" t="s">
        <v>421</v>
      </c>
      <c r="R6" s="135">
        <v>3.5</v>
      </c>
      <c r="S6" s="135">
        <v>0.75</v>
      </c>
      <c r="T6" s="135">
        <v>1.24</v>
      </c>
      <c r="U6" s="135">
        <v>0.3</v>
      </c>
      <c r="V6" s="135">
        <v>6.4</v>
      </c>
      <c r="W6" s="135">
        <v>7.65</v>
      </c>
      <c r="X6" s="135">
        <v>45</v>
      </c>
      <c r="Y6" s="135" t="s">
        <v>701</v>
      </c>
      <c r="Z6" s="137">
        <v>10.9</v>
      </c>
    </row>
    <row r="7" spans="1:27" ht="12.75" customHeight="1" x14ac:dyDescent="0.2">
      <c r="A7" s="134" t="s">
        <v>770</v>
      </c>
      <c r="B7" s="134" t="s">
        <v>573</v>
      </c>
      <c r="C7" s="135">
        <v>9.02</v>
      </c>
      <c r="D7" s="130">
        <v>0.75480000000000003</v>
      </c>
      <c r="E7" s="130">
        <v>0.20710000000000001</v>
      </c>
      <c r="F7" s="130">
        <v>0</v>
      </c>
      <c r="G7" s="128" t="s">
        <v>389</v>
      </c>
      <c r="H7" s="128" t="s">
        <v>122</v>
      </c>
      <c r="I7" s="130">
        <v>0.88629999999999998</v>
      </c>
      <c r="J7" s="130">
        <v>1.0435000000000001</v>
      </c>
      <c r="K7" s="136">
        <v>150</v>
      </c>
      <c r="L7" s="130">
        <v>0</v>
      </c>
      <c r="M7" s="130" t="s">
        <v>389</v>
      </c>
      <c r="N7" s="133">
        <v>0</v>
      </c>
      <c r="O7" s="130" t="s">
        <v>389</v>
      </c>
      <c r="P7" s="133">
        <v>0</v>
      </c>
      <c r="Q7" s="133" t="s">
        <v>421</v>
      </c>
      <c r="R7" s="135">
        <v>2.94</v>
      </c>
      <c r="S7" s="135">
        <v>1</v>
      </c>
      <c r="T7" s="135">
        <v>1.1499999999999999</v>
      </c>
      <c r="U7" s="164">
        <v>0.38</v>
      </c>
      <c r="V7" s="135">
        <v>8.1999999999999993</v>
      </c>
      <c r="W7" s="135">
        <v>9.5</v>
      </c>
      <c r="X7" s="164">
        <v>35</v>
      </c>
      <c r="Y7" s="135" t="s">
        <v>701</v>
      </c>
      <c r="Z7" s="133">
        <v>12.1</v>
      </c>
    </row>
    <row r="8" spans="1:27" ht="12.75" customHeight="1" x14ac:dyDescent="0.25">
      <c r="A8" s="151" t="s">
        <v>725</v>
      </c>
      <c r="B8" s="151" t="s">
        <v>620</v>
      </c>
      <c r="C8" s="152">
        <v>5.7</v>
      </c>
      <c r="D8" s="153">
        <v>2</v>
      </c>
      <c r="E8" s="153">
        <v>0.8</v>
      </c>
      <c r="F8" s="153">
        <v>0.4</v>
      </c>
      <c r="G8" s="153" t="s">
        <v>421</v>
      </c>
      <c r="H8" s="153" t="s">
        <v>122</v>
      </c>
      <c r="I8" s="153">
        <v>0.57550000000000001</v>
      </c>
      <c r="J8" s="153">
        <v>1.8989</v>
      </c>
      <c r="K8" s="154">
        <v>370</v>
      </c>
      <c r="L8" s="153">
        <v>1.329</v>
      </c>
      <c r="M8" s="130" t="s">
        <v>395</v>
      </c>
      <c r="N8" s="133">
        <v>0.1</v>
      </c>
      <c r="O8" s="130" t="s">
        <v>395</v>
      </c>
      <c r="P8" s="133">
        <v>0.4</v>
      </c>
      <c r="Q8" s="133" t="s">
        <v>421</v>
      </c>
      <c r="R8" s="135">
        <v>3.1</v>
      </c>
      <c r="S8" s="135">
        <v>0.75</v>
      </c>
      <c r="T8" s="135">
        <v>1.1499999999999999</v>
      </c>
      <c r="U8" s="135">
        <v>0.45</v>
      </c>
      <c r="V8" s="135">
        <v>8.4</v>
      </c>
      <c r="W8" s="135">
        <v>9.6</v>
      </c>
      <c r="X8" s="135">
        <v>35</v>
      </c>
      <c r="Y8" s="135" t="s">
        <v>701</v>
      </c>
      <c r="Z8" s="155">
        <v>13.4</v>
      </c>
    </row>
    <row r="9" spans="1:27" ht="12.75" customHeight="1" x14ac:dyDescent="0.25">
      <c r="A9" s="175" t="s">
        <v>799</v>
      </c>
      <c r="B9" s="94" t="s">
        <v>767</v>
      </c>
      <c r="C9" s="152">
        <v>7.82</v>
      </c>
      <c r="D9" s="153">
        <v>1</v>
      </c>
      <c r="E9" s="153">
        <v>0.6</v>
      </c>
      <c r="F9" s="95">
        <v>0</v>
      </c>
      <c r="G9" s="95" t="s">
        <v>389</v>
      </c>
      <c r="H9" s="95" t="s">
        <v>122</v>
      </c>
      <c r="I9" s="95">
        <v>0.72740000000000005</v>
      </c>
      <c r="J9" s="95">
        <v>1.0164</v>
      </c>
      <c r="K9" s="154">
        <v>350</v>
      </c>
      <c r="L9" s="95">
        <v>0.69099999999999995</v>
      </c>
      <c r="M9" s="153" t="s">
        <v>389</v>
      </c>
      <c r="N9" s="156">
        <v>0</v>
      </c>
      <c r="O9" s="153" t="s">
        <v>389</v>
      </c>
      <c r="P9" s="156">
        <v>0</v>
      </c>
      <c r="Q9" s="133" t="s">
        <v>421</v>
      </c>
      <c r="R9" s="135">
        <v>2.9</v>
      </c>
      <c r="S9" s="135">
        <v>0.85</v>
      </c>
      <c r="T9" s="135">
        <v>1.25</v>
      </c>
      <c r="U9" s="135">
        <v>0.4</v>
      </c>
      <c r="V9" s="135">
        <v>7.9</v>
      </c>
      <c r="W9" s="135">
        <v>9.15</v>
      </c>
      <c r="X9" s="135">
        <v>35</v>
      </c>
      <c r="Y9" s="135" t="s">
        <v>701</v>
      </c>
      <c r="Z9" s="157">
        <v>13.4</v>
      </c>
    </row>
    <row r="10" spans="1:27" ht="12.75" customHeight="1" x14ac:dyDescent="0.2">
      <c r="A10" s="126" t="s">
        <v>500</v>
      </c>
      <c r="B10" s="126" t="s">
        <v>501</v>
      </c>
      <c r="C10" s="127">
        <v>4.6500000000000004</v>
      </c>
      <c r="D10" s="128">
        <v>1.5752999999999999</v>
      </c>
      <c r="E10" s="128">
        <v>0.97660000000000002</v>
      </c>
      <c r="F10" s="128">
        <v>0.53990000000000005</v>
      </c>
      <c r="G10" s="128" t="s">
        <v>421</v>
      </c>
      <c r="H10" s="128" t="s">
        <v>122</v>
      </c>
      <c r="I10" s="128">
        <v>1.1893</v>
      </c>
      <c r="J10" s="128">
        <v>3.8614999999999999</v>
      </c>
      <c r="K10" s="129">
        <v>400</v>
      </c>
      <c r="L10" s="128">
        <v>0.76770000000000005</v>
      </c>
      <c r="M10" s="130" t="s">
        <v>389</v>
      </c>
      <c r="N10" s="133">
        <v>0</v>
      </c>
      <c r="O10" s="130" t="s">
        <v>389</v>
      </c>
      <c r="P10" s="133">
        <v>0</v>
      </c>
      <c r="Q10" s="133" t="s">
        <v>421</v>
      </c>
      <c r="R10" s="135">
        <v>2.87</v>
      </c>
      <c r="S10" s="135">
        <v>0.9</v>
      </c>
      <c r="T10" s="135">
        <v>1.1000000000000001</v>
      </c>
      <c r="U10" s="135">
        <v>0.25</v>
      </c>
      <c r="V10" s="135">
        <v>6.8</v>
      </c>
      <c r="W10" s="135">
        <v>8</v>
      </c>
      <c r="X10" s="135">
        <v>45</v>
      </c>
      <c r="Y10" s="135" t="s">
        <v>701</v>
      </c>
      <c r="Z10" s="137">
        <v>13.7</v>
      </c>
    </row>
    <row r="11" spans="1:27" ht="12.75" customHeight="1" x14ac:dyDescent="0.2">
      <c r="A11" s="134" t="s">
        <v>368</v>
      </c>
      <c r="B11" s="134" t="s">
        <v>577</v>
      </c>
      <c r="C11" s="135">
        <v>9.27</v>
      </c>
      <c r="D11" s="130">
        <v>0.6865</v>
      </c>
      <c r="E11" s="130">
        <v>0.4894</v>
      </c>
      <c r="F11" s="130">
        <v>0</v>
      </c>
      <c r="G11" s="128" t="s">
        <v>389</v>
      </c>
      <c r="H11" s="128" t="s">
        <v>122</v>
      </c>
      <c r="I11" s="130">
        <v>0.62070000000000003</v>
      </c>
      <c r="J11" s="130">
        <v>0.67310000000000003</v>
      </c>
      <c r="K11" s="136">
        <v>160</v>
      </c>
      <c r="L11" s="130">
        <v>0.78280000000000005</v>
      </c>
      <c r="M11" s="130" t="s">
        <v>389</v>
      </c>
      <c r="N11" s="133">
        <v>0</v>
      </c>
      <c r="O11" s="130" t="s">
        <v>389</v>
      </c>
      <c r="P11" s="133">
        <v>0</v>
      </c>
      <c r="Q11" s="133" t="s">
        <v>421</v>
      </c>
      <c r="R11" s="135">
        <v>3.5</v>
      </c>
      <c r="S11" s="135">
        <v>1</v>
      </c>
      <c r="T11" s="135">
        <v>1.25</v>
      </c>
      <c r="U11" s="135">
        <v>0.6</v>
      </c>
      <c r="V11" s="135">
        <v>8.5500000000000007</v>
      </c>
      <c r="W11" s="135">
        <v>9.9499999999999993</v>
      </c>
      <c r="X11" s="135">
        <v>45</v>
      </c>
      <c r="Y11" s="135" t="s">
        <v>702</v>
      </c>
      <c r="Z11" s="133">
        <v>13.8</v>
      </c>
    </row>
    <row r="12" spans="1:27" ht="12.75" customHeight="1" x14ac:dyDescent="0.2">
      <c r="A12" s="126" t="s">
        <v>499</v>
      </c>
      <c r="B12" s="126" t="s">
        <v>604</v>
      </c>
      <c r="C12" s="127">
        <v>5.7</v>
      </c>
      <c r="D12" s="128">
        <v>1.8694999999999999</v>
      </c>
      <c r="E12" s="128">
        <v>0.83209999999999995</v>
      </c>
      <c r="F12" s="128">
        <v>7.8600000000000003E-2</v>
      </c>
      <c r="G12" s="128" t="s">
        <v>421</v>
      </c>
      <c r="H12" s="128" t="s">
        <v>122</v>
      </c>
      <c r="I12" s="128">
        <v>1.0497000000000001</v>
      </c>
      <c r="J12" s="128">
        <v>2.4529000000000001</v>
      </c>
      <c r="K12" s="129">
        <v>350</v>
      </c>
      <c r="L12" s="128">
        <v>0</v>
      </c>
      <c r="M12" s="130" t="s">
        <v>389</v>
      </c>
      <c r="N12" s="133">
        <v>0</v>
      </c>
      <c r="O12" s="130" t="s">
        <v>389</v>
      </c>
      <c r="P12" s="133">
        <v>0</v>
      </c>
      <c r="Q12" s="133" t="s">
        <v>421</v>
      </c>
      <c r="R12" s="135">
        <v>3.38</v>
      </c>
      <c r="S12" s="135">
        <v>0.79</v>
      </c>
      <c r="T12" s="135">
        <v>1.1399999999999999</v>
      </c>
      <c r="U12" s="135">
        <v>0.28000000000000003</v>
      </c>
      <c r="V12" s="135">
        <v>6.6</v>
      </c>
      <c r="W12" s="135">
        <v>7.8</v>
      </c>
      <c r="X12" s="135">
        <v>45</v>
      </c>
      <c r="Y12" s="135" t="s">
        <v>701</v>
      </c>
      <c r="Z12" s="137">
        <v>14.1</v>
      </c>
    </row>
    <row r="13" spans="1:27" ht="12.75" customHeight="1" x14ac:dyDescent="0.2">
      <c r="A13" s="134" t="s">
        <v>354</v>
      </c>
      <c r="B13" s="134" t="s">
        <v>566</v>
      </c>
      <c r="C13" s="135">
        <v>9.02</v>
      </c>
      <c r="D13" s="130">
        <v>0.88039999999999996</v>
      </c>
      <c r="E13" s="130">
        <v>0.3533</v>
      </c>
      <c r="F13" s="130">
        <v>0</v>
      </c>
      <c r="G13" s="128" t="s">
        <v>389</v>
      </c>
      <c r="H13" s="128" t="s">
        <v>122</v>
      </c>
      <c r="I13" s="130">
        <v>0.79469999999999996</v>
      </c>
      <c r="J13" s="130">
        <v>1.0109999999999999</v>
      </c>
      <c r="K13" s="136">
        <v>240</v>
      </c>
      <c r="L13" s="130">
        <v>1.637</v>
      </c>
      <c r="M13" s="130" t="s">
        <v>395</v>
      </c>
      <c r="N13" s="133">
        <v>0.1</v>
      </c>
      <c r="O13" s="130" t="s">
        <v>389</v>
      </c>
      <c r="P13" s="133">
        <v>0</v>
      </c>
      <c r="Q13" s="133" t="s">
        <v>421</v>
      </c>
      <c r="R13" s="135">
        <v>2.98</v>
      </c>
      <c r="S13" s="135">
        <v>0.9</v>
      </c>
      <c r="T13" s="135">
        <v>1.27</v>
      </c>
      <c r="U13" s="135">
        <v>0.3</v>
      </c>
      <c r="V13" s="135">
        <v>8.7899999999999991</v>
      </c>
      <c r="W13" s="135">
        <v>9.9600000000000009</v>
      </c>
      <c r="X13" s="135">
        <v>45</v>
      </c>
      <c r="Y13" s="135" t="s">
        <v>701</v>
      </c>
      <c r="Z13" s="133">
        <v>14.1</v>
      </c>
    </row>
    <row r="14" spans="1:27" ht="12.75" customHeight="1" x14ac:dyDescent="0.25">
      <c r="A14" s="151" t="s">
        <v>757</v>
      </c>
      <c r="B14" s="151" t="s">
        <v>565</v>
      </c>
      <c r="C14" s="152">
        <v>9.02</v>
      </c>
      <c r="D14" s="153">
        <v>1</v>
      </c>
      <c r="E14" s="153">
        <v>0.6</v>
      </c>
      <c r="F14" s="153">
        <v>0</v>
      </c>
      <c r="G14" s="153" t="s">
        <v>389</v>
      </c>
      <c r="H14" s="153" t="s">
        <v>122</v>
      </c>
      <c r="I14" s="153">
        <v>0.49530000000000002</v>
      </c>
      <c r="J14" s="153">
        <v>0.61409999999999998</v>
      </c>
      <c r="K14" s="154">
        <v>320</v>
      </c>
      <c r="L14" s="153">
        <v>2.0539999999999998</v>
      </c>
      <c r="M14" s="153" t="s">
        <v>389</v>
      </c>
      <c r="N14" s="156">
        <v>0</v>
      </c>
      <c r="O14" s="153" t="s">
        <v>389</v>
      </c>
      <c r="P14" s="156">
        <v>0</v>
      </c>
      <c r="Q14" s="133" t="s">
        <v>421</v>
      </c>
      <c r="R14" s="135">
        <v>3</v>
      </c>
      <c r="S14" s="135">
        <v>0.9</v>
      </c>
      <c r="T14" s="135">
        <v>1.25</v>
      </c>
      <c r="U14" s="135">
        <v>0.3</v>
      </c>
      <c r="V14" s="135">
        <v>8.8000000000000007</v>
      </c>
      <c r="W14" s="135">
        <v>9.9499999999999993</v>
      </c>
      <c r="X14" s="135">
        <v>45</v>
      </c>
      <c r="Y14" s="135" t="s">
        <v>701</v>
      </c>
      <c r="Z14" s="155">
        <v>14.5</v>
      </c>
    </row>
    <row r="15" spans="1:27" ht="12.75" customHeight="1" x14ac:dyDescent="0.2">
      <c r="A15" s="134" t="s">
        <v>766</v>
      </c>
      <c r="B15" s="134" t="s">
        <v>767</v>
      </c>
      <c r="C15" s="135">
        <v>7.82</v>
      </c>
      <c r="D15" s="130">
        <v>1</v>
      </c>
      <c r="E15" s="130">
        <v>0.6</v>
      </c>
      <c r="F15" s="130">
        <v>0</v>
      </c>
      <c r="G15" s="128" t="s">
        <v>389</v>
      </c>
      <c r="H15" s="128" t="s">
        <v>122</v>
      </c>
      <c r="I15" s="130">
        <v>0.72070000000000001</v>
      </c>
      <c r="J15" s="130">
        <v>1.1833</v>
      </c>
      <c r="K15" s="136">
        <v>320</v>
      </c>
      <c r="L15" s="130">
        <v>1.024</v>
      </c>
      <c r="M15" s="130" t="s">
        <v>389</v>
      </c>
      <c r="N15" s="133">
        <v>0</v>
      </c>
      <c r="O15" s="130" t="s">
        <v>389</v>
      </c>
      <c r="P15" s="133">
        <v>0</v>
      </c>
      <c r="Q15" s="133" t="s">
        <v>421</v>
      </c>
      <c r="R15" s="135">
        <v>3</v>
      </c>
      <c r="S15" s="135">
        <v>0.9</v>
      </c>
      <c r="T15" s="135">
        <v>1.25</v>
      </c>
      <c r="U15" s="135">
        <v>0.3</v>
      </c>
      <c r="V15" s="135">
        <v>8.8000000000000007</v>
      </c>
      <c r="W15" s="135">
        <v>9.9499999999999993</v>
      </c>
      <c r="X15" s="135">
        <v>45</v>
      </c>
      <c r="Y15" s="135" t="s">
        <v>701</v>
      </c>
      <c r="Z15" s="133">
        <v>14.9</v>
      </c>
    </row>
    <row r="16" spans="1:27" ht="12.75" customHeight="1" x14ac:dyDescent="0.25">
      <c r="A16" s="175" t="s">
        <v>797</v>
      </c>
      <c r="B16" s="94" t="s">
        <v>798</v>
      </c>
      <c r="C16" s="152">
        <v>7.92</v>
      </c>
      <c r="D16" s="153">
        <v>0.83550000000000002</v>
      </c>
      <c r="E16" s="153">
        <v>0.33090000000000003</v>
      </c>
      <c r="F16" s="95">
        <v>0</v>
      </c>
      <c r="G16" s="95" t="s">
        <v>389</v>
      </c>
      <c r="H16" s="95" t="s">
        <v>122</v>
      </c>
      <c r="I16" s="95">
        <v>1.3663000000000001</v>
      </c>
      <c r="J16" s="95">
        <v>1.6933</v>
      </c>
      <c r="K16" s="154">
        <v>280</v>
      </c>
      <c r="L16" s="95">
        <v>2.0950000000000002</v>
      </c>
      <c r="M16" s="153" t="s">
        <v>389</v>
      </c>
      <c r="N16" s="156">
        <v>0</v>
      </c>
      <c r="O16" s="153" t="s">
        <v>389</v>
      </c>
      <c r="P16" s="156">
        <v>0</v>
      </c>
      <c r="Q16" s="133" t="s">
        <v>421</v>
      </c>
      <c r="R16" s="135">
        <v>2.9</v>
      </c>
      <c r="S16" s="135">
        <v>0.84</v>
      </c>
      <c r="T16" s="135">
        <v>1.27</v>
      </c>
      <c r="U16" s="135">
        <v>0.38</v>
      </c>
      <c r="V16" s="135">
        <v>7.87</v>
      </c>
      <c r="W16" s="135">
        <v>9.14</v>
      </c>
      <c r="X16" s="135">
        <v>35</v>
      </c>
      <c r="Y16" s="135" t="s">
        <v>701</v>
      </c>
      <c r="Z16" s="157">
        <v>14.9</v>
      </c>
    </row>
    <row r="17" spans="1:26" ht="12.75" customHeight="1" x14ac:dyDescent="0.2">
      <c r="A17" s="134" t="s">
        <v>764</v>
      </c>
      <c r="B17" s="134" t="s">
        <v>765</v>
      </c>
      <c r="C17" s="135">
        <v>7.85</v>
      </c>
      <c r="D17" s="130">
        <v>0.84989999999999999</v>
      </c>
      <c r="E17" s="130">
        <v>0.51049999999999995</v>
      </c>
      <c r="F17" s="130">
        <v>0.1605</v>
      </c>
      <c r="G17" s="128" t="s">
        <v>389</v>
      </c>
      <c r="H17" s="128" t="s">
        <v>122</v>
      </c>
      <c r="I17" s="130">
        <v>0.77190000000000003</v>
      </c>
      <c r="J17" s="130">
        <v>1.2264999999999999</v>
      </c>
      <c r="K17" s="136">
        <v>240</v>
      </c>
      <c r="L17" s="130">
        <v>1.542</v>
      </c>
      <c r="M17" s="130" t="s">
        <v>389</v>
      </c>
      <c r="N17" s="133">
        <v>0</v>
      </c>
      <c r="O17" s="130" t="s">
        <v>389</v>
      </c>
      <c r="P17" s="133">
        <v>0</v>
      </c>
      <c r="Q17" s="133" t="s">
        <v>421</v>
      </c>
      <c r="R17" s="135">
        <v>3.69</v>
      </c>
      <c r="S17" s="135">
        <v>0.9</v>
      </c>
      <c r="T17" s="135">
        <v>1.22</v>
      </c>
      <c r="U17" s="135">
        <v>0.3</v>
      </c>
      <c r="V17" s="135">
        <v>8.7899999999999991</v>
      </c>
      <c r="W17" s="135">
        <v>9.98</v>
      </c>
      <c r="X17" s="135">
        <v>45</v>
      </c>
      <c r="Y17" s="135" t="s">
        <v>701</v>
      </c>
      <c r="Z17" s="133">
        <v>15.6</v>
      </c>
    </row>
    <row r="18" spans="1:26" ht="12.75" customHeight="1" x14ac:dyDescent="0.25">
      <c r="A18" s="151" t="s">
        <v>758</v>
      </c>
      <c r="B18" s="151" t="s">
        <v>676</v>
      </c>
      <c r="C18" s="152">
        <v>10.16</v>
      </c>
      <c r="D18" s="153">
        <v>1</v>
      </c>
      <c r="E18" s="153">
        <v>0.6</v>
      </c>
      <c r="F18" s="153">
        <v>0</v>
      </c>
      <c r="G18" s="153" t="s">
        <v>389</v>
      </c>
      <c r="H18" s="153" t="s">
        <v>122</v>
      </c>
      <c r="I18" s="153">
        <v>0.4</v>
      </c>
      <c r="J18" s="153">
        <v>0.38319999999999999</v>
      </c>
      <c r="K18" s="154">
        <v>280</v>
      </c>
      <c r="L18" s="153">
        <v>7.0000000000000001E-3</v>
      </c>
      <c r="M18" s="153" t="s">
        <v>389</v>
      </c>
      <c r="N18" s="156">
        <v>0</v>
      </c>
      <c r="O18" s="153" t="s">
        <v>389</v>
      </c>
      <c r="P18" s="156">
        <v>0</v>
      </c>
      <c r="Q18" s="133" t="s">
        <v>421</v>
      </c>
      <c r="R18" s="135">
        <v>3.55</v>
      </c>
      <c r="S18" s="135">
        <v>1.1499999999999999</v>
      </c>
      <c r="T18" s="135">
        <v>1.4</v>
      </c>
      <c r="U18" s="135">
        <v>0.5</v>
      </c>
      <c r="V18" s="135">
        <v>8.8000000000000007</v>
      </c>
      <c r="W18" s="135">
        <v>10.8</v>
      </c>
      <c r="X18" s="135">
        <v>35</v>
      </c>
      <c r="Y18" s="135" t="s">
        <v>701</v>
      </c>
      <c r="Z18" s="155">
        <v>16.600000000000001</v>
      </c>
    </row>
    <row r="19" spans="1:26" ht="12.75" customHeight="1" x14ac:dyDescent="0.25">
      <c r="A19" s="151" t="s">
        <v>727</v>
      </c>
      <c r="B19" s="151" t="s">
        <v>675</v>
      </c>
      <c r="C19" s="152">
        <v>6.2</v>
      </c>
      <c r="D19" s="153">
        <v>2</v>
      </c>
      <c r="E19" s="153">
        <v>0.8</v>
      </c>
      <c r="F19" s="153">
        <v>0.4</v>
      </c>
      <c r="G19" s="153" t="s">
        <v>421</v>
      </c>
      <c r="H19" s="153" t="s">
        <v>122</v>
      </c>
      <c r="I19" s="153">
        <v>0.71550000000000002</v>
      </c>
      <c r="J19" s="153">
        <v>1.9716</v>
      </c>
      <c r="K19" s="154">
        <v>370</v>
      </c>
      <c r="L19" s="153">
        <v>1.0169999999999999</v>
      </c>
      <c r="M19" s="153" t="s">
        <v>395</v>
      </c>
      <c r="N19" s="156">
        <v>0.1</v>
      </c>
      <c r="O19" s="153" t="s">
        <v>395</v>
      </c>
      <c r="P19" s="156">
        <v>0.3</v>
      </c>
      <c r="Q19" s="133" t="s">
        <v>421</v>
      </c>
      <c r="R19" s="135">
        <v>3.1</v>
      </c>
      <c r="S19" s="135">
        <v>0.75</v>
      </c>
      <c r="T19" s="135">
        <v>1.1499999999999999</v>
      </c>
      <c r="U19" s="135">
        <v>0.45</v>
      </c>
      <c r="V19" s="135">
        <v>8.4</v>
      </c>
      <c r="W19" s="135">
        <v>9.6</v>
      </c>
      <c r="X19" s="135">
        <v>35</v>
      </c>
      <c r="Y19" s="135" t="s">
        <v>701</v>
      </c>
      <c r="Z19" s="155">
        <v>17.2</v>
      </c>
    </row>
    <row r="20" spans="1:26" ht="12.75" customHeight="1" x14ac:dyDescent="0.2">
      <c r="A20" s="134" t="s">
        <v>762</v>
      </c>
      <c r="B20" s="134" t="s">
        <v>763</v>
      </c>
      <c r="C20" s="135">
        <v>9.0399999999999991</v>
      </c>
      <c r="D20" s="130">
        <v>0.88019999999999998</v>
      </c>
      <c r="E20" s="130">
        <v>0.70679999999999998</v>
      </c>
      <c r="F20" s="130">
        <v>0</v>
      </c>
      <c r="G20" s="128" t="s">
        <v>389</v>
      </c>
      <c r="H20" s="128" t="s">
        <v>122</v>
      </c>
      <c r="I20" s="130">
        <v>0.61080000000000001</v>
      </c>
      <c r="J20" s="130">
        <v>0.73899999999999999</v>
      </c>
      <c r="K20" s="136">
        <v>250</v>
      </c>
      <c r="L20" s="130">
        <v>0.81200000000000006</v>
      </c>
      <c r="M20" s="130" t="s">
        <v>389</v>
      </c>
      <c r="N20" s="133">
        <v>0</v>
      </c>
      <c r="O20" s="130" t="s">
        <v>389</v>
      </c>
      <c r="P20" s="133">
        <v>0</v>
      </c>
      <c r="Q20" s="133" t="s">
        <v>421</v>
      </c>
      <c r="R20" s="127">
        <v>3.65</v>
      </c>
      <c r="S20" s="135">
        <v>1.02</v>
      </c>
      <c r="T20" s="135">
        <v>1.27</v>
      </c>
      <c r="U20" s="135">
        <v>0.41</v>
      </c>
      <c r="V20" s="135">
        <v>8.76</v>
      </c>
      <c r="W20" s="135">
        <v>10.31</v>
      </c>
      <c r="X20" s="135">
        <v>35</v>
      </c>
      <c r="Y20" s="135" t="s">
        <v>701</v>
      </c>
      <c r="Z20" s="133">
        <v>17.600000000000001</v>
      </c>
    </row>
    <row r="21" spans="1:26" ht="12.75" customHeight="1" x14ac:dyDescent="0.2">
      <c r="A21" s="134" t="s">
        <v>377</v>
      </c>
      <c r="B21" s="134" t="s">
        <v>568</v>
      </c>
      <c r="C21" s="135">
        <v>9.0399999999999991</v>
      </c>
      <c r="D21" s="130">
        <v>0.96640000000000004</v>
      </c>
      <c r="E21" s="130">
        <v>0.41020000000000001</v>
      </c>
      <c r="F21" s="130">
        <v>0</v>
      </c>
      <c r="G21" s="128" t="s">
        <v>389</v>
      </c>
      <c r="H21" s="128" t="s">
        <v>122</v>
      </c>
      <c r="I21" s="130">
        <v>0.8891</v>
      </c>
      <c r="J21" s="130">
        <v>1.1247</v>
      </c>
      <c r="K21" s="136">
        <v>360</v>
      </c>
      <c r="L21" s="130">
        <v>1.36</v>
      </c>
      <c r="M21" s="130" t="s">
        <v>389</v>
      </c>
      <c r="N21" s="133">
        <v>0</v>
      </c>
      <c r="O21" s="130" t="s">
        <v>389</v>
      </c>
      <c r="P21" s="133">
        <v>0</v>
      </c>
      <c r="Q21" s="133" t="s">
        <v>421</v>
      </c>
      <c r="R21" s="127">
        <v>3.38</v>
      </c>
      <c r="S21" s="135">
        <v>0.89</v>
      </c>
      <c r="T21" s="135">
        <v>1.27</v>
      </c>
      <c r="U21" s="135">
        <v>0.38</v>
      </c>
      <c r="V21" s="135">
        <v>8.81</v>
      </c>
      <c r="W21" s="135">
        <v>10.01</v>
      </c>
      <c r="X21" s="135">
        <v>35</v>
      </c>
      <c r="Y21" s="135" t="s">
        <v>701</v>
      </c>
      <c r="Z21" s="133">
        <v>17.7</v>
      </c>
    </row>
    <row r="22" spans="1:26" ht="12.75" customHeight="1" x14ac:dyDescent="0.2">
      <c r="A22" s="134" t="s">
        <v>358</v>
      </c>
      <c r="B22" s="134" t="s">
        <v>724</v>
      </c>
      <c r="C22" s="135">
        <v>7.9</v>
      </c>
      <c r="D22" s="130">
        <v>1.129</v>
      </c>
      <c r="E22" s="130">
        <v>0.50729999999999997</v>
      </c>
      <c r="F22" s="130">
        <v>5.9700000000000003E-2</v>
      </c>
      <c r="G22" s="128" t="s">
        <v>389</v>
      </c>
      <c r="H22" s="128" t="s">
        <v>122</v>
      </c>
      <c r="I22" s="130">
        <v>0.96230000000000004</v>
      </c>
      <c r="J22" s="130">
        <v>1.6585000000000001</v>
      </c>
      <c r="K22" s="136">
        <v>300</v>
      </c>
      <c r="L22" s="130">
        <v>1.2335</v>
      </c>
      <c r="M22" s="130" t="s">
        <v>389</v>
      </c>
      <c r="N22" s="133">
        <v>0</v>
      </c>
      <c r="O22" s="130" t="s">
        <v>389</v>
      </c>
      <c r="P22" s="133">
        <v>0</v>
      </c>
      <c r="Q22" s="133" t="s">
        <v>421</v>
      </c>
      <c r="R22" s="135">
        <v>3.34</v>
      </c>
      <c r="S22" s="135">
        <v>1</v>
      </c>
      <c r="T22" s="135">
        <v>1.32</v>
      </c>
      <c r="U22" s="135">
        <v>0.6</v>
      </c>
      <c r="V22" s="135">
        <v>8.65</v>
      </c>
      <c r="W22" s="135">
        <v>9.9499999999999993</v>
      </c>
      <c r="X22" s="135">
        <v>45</v>
      </c>
      <c r="Y22" s="135" t="s">
        <v>702</v>
      </c>
      <c r="Z22" s="133">
        <v>18.600000000000001</v>
      </c>
    </row>
    <row r="23" spans="1:26" ht="12.75" customHeight="1" x14ac:dyDescent="0.2">
      <c r="A23" s="134" t="s">
        <v>587</v>
      </c>
      <c r="B23" s="134" t="s">
        <v>588</v>
      </c>
      <c r="C23" s="135">
        <v>7.92</v>
      </c>
      <c r="D23" s="130">
        <v>0.7399</v>
      </c>
      <c r="E23" s="130">
        <v>0.97199999999999998</v>
      </c>
      <c r="F23" s="130">
        <v>0</v>
      </c>
      <c r="G23" s="128" t="s">
        <v>389</v>
      </c>
      <c r="H23" s="128" t="s">
        <v>123</v>
      </c>
      <c r="I23" s="130">
        <v>1.0529999999999999</v>
      </c>
      <c r="J23" s="130">
        <v>1.157</v>
      </c>
      <c r="K23" s="136">
        <v>310</v>
      </c>
      <c r="L23" s="130">
        <v>0.40699999999999997</v>
      </c>
      <c r="M23" s="130" t="s">
        <v>389</v>
      </c>
      <c r="N23" s="133">
        <v>0</v>
      </c>
      <c r="O23" s="130" t="s">
        <v>389</v>
      </c>
      <c r="P23" s="133">
        <v>0</v>
      </c>
      <c r="Q23" s="133" t="s">
        <v>421</v>
      </c>
      <c r="R23" s="164">
        <v>2.1</v>
      </c>
      <c r="S23" s="164">
        <v>0.57999999999999996</v>
      </c>
      <c r="T23" s="135">
        <v>1.4</v>
      </c>
      <c r="U23" s="135">
        <v>0.38</v>
      </c>
      <c r="V23" s="164">
        <v>8.08</v>
      </c>
      <c r="W23" s="135">
        <v>9.5299999999999994</v>
      </c>
      <c r="X23" s="135">
        <v>35</v>
      </c>
      <c r="Y23" s="135" t="s">
        <v>701</v>
      </c>
      <c r="Z23" s="133">
        <v>19.100000000000001</v>
      </c>
    </row>
    <row r="24" spans="1:26" ht="12.75" customHeight="1" x14ac:dyDescent="0.2">
      <c r="A24" s="126" t="s">
        <v>803</v>
      </c>
      <c r="B24" s="126" t="s">
        <v>802</v>
      </c>
      <c r="C24" s="127">
        <v>4.92</v>
      </c>
      <c r="D24" s="128">
        <v>3</v>
      </c>
      <c r="E24" s="128">
        <v>1.2</v>
      </c>
      <c r="F24" s="128">
        <v>0.6</v>
      </c>
      <c r="G24" s="128" t="s">
        <v>421</v>
      </c>
      <c r="H24" s="128" t="s">
        <v>122</v>
      </c>
      <c r="I24" s="128">
        <v>0.72230000000000005</v>
      </c>
      <c r="J24" s="128">
        <v>3.1440999999999999</v>
      </c>
      <c r="K24" s="129">
        <v>440</v>
      </c>
      <c r="L24" s="128">
        <v>0.878</v>
      </c>
      <c r="M24" s="130" t="s">
        <v>395</v>
      </c>
      <c r="N24" s="133">
        <v>0.2</v>
      </c>
      <c r="O24" s="130" t="s">
        <v>395</v>
      </c>
      <c r="P24" s="133">
        <v>0.6</v>
      </c>
      <c r="Q24" s="133" t="s">
        <v>421</v>
      </c>
      <c r="R24" s="135">
        <v>3.1</v>
      </c>
      <c r="S24" s="135">
        <v>0.75</v>
      </c>
      <c r="T24" s="135">
        <v>1.1499999999999999</v>
      </c>
      <c r="U24" s="135">
        <v>0.45</v>
      </c>
      <c r="V24" s="135">
        <v>8.4</v>
      </c>
      <c r="W24" s="135">
        <v>9.6</v>
      </c>
      <c r="X24" s="135">
        <v>35</v>
      </c>
      <c r="Y24" s="135" t="s">
        <v>701</v>
      </c>
      <c r="Z24" s="137">
        <v>19.2</v>
      </c>
    </row>
    <row r="25" spans="1:26" ht="12.75" customHeight="1" x14ac:dyDescent="0.25">
      <c r="A25" s="151" t="s">
        <v>728</v>
      </c>
      <c r="B25" s="151" t="s">
        <v>564</v>
      </c>
      <c r="C25" s="152">
        <v>9.02</v>
      </c>
      <c r="D25" s="153">
        <v>1</v>
      </c>
      <c r="E25" s="153">
        <v>0.6</v>
      </c>
      <c r="F25" s="153">
        <v>0</v>
      </c>
      <c r="G25" s="153" t="s">
        <v>389</v>
      </c>
      <c r="H25" s="153" t="s">
        <v>122</v>
      </c>
      <c r="I25" s="153">
        <v>0.79800000000000004</v>
      </c>
      <c r="J25" s="153">
        <v>0.98939999999999995</v>
      </c>
      <c r="K25" s="154">
        <v>360</v>
      </c>
      <c r="L25" s="153">
        <v>1.3720000000000001</v>
      </c>
      <c r="M25" s="153" t="s">
        <v>389</v>
      </c>
      <c r="N25" s="156">
        <v>0</v>
      </c>
      <c r="O25" s="153" t="s">
        <v>389</v>
      </c>
      <c r="P25" s="156">
        <v>0</v>
      </c>
      <c r="Q25" s="133" t="s">
        <v>421</v>
      </c>
      <c r="R25" s="135">
        <v>3</v>
      </c>
      <c r="S25" s="135">
        <v>0.9</v>
      </c>
      <c r="T25" s="135">
        <v>1.25</v>
      </c>
      <c r="U25" s="135">
        <v>0.3</v>
      </c>
      <c r="V25" s="135">
        <v>8.8000000000000007</v>
      </c>
      <c r="W25" s="135">
        <v>9.9499999999999993</v>
      </c>
      <c r="X25" s="135">
        <v>45</v>
      </c>
      <c r="Y25" s="135" t="s">
        <v>701</v>
      </c>
      <c r="Z25" s="155">
        <v>19.600000000000001</v>
      </c>
    </row>
    <row r="26" spans="1:26" ht="12.75" customHeight="1" x14ac:dyDescent="0.2">
      <c r="A26" s="134" t="s">
        <v>355</v>
      </c>
      <c r="B26" s="134" t="s">
        <v>567</v>
      </c>
      <c r="C26" s="135">
        <v>9.02</v>
      </c>
      <c r="D26" s="130">
        <v>0.70240000000000002</v>
      </c>
      <c r="E26" s="130">
        <v>0.42870000000000003</v>
      </c>
      <c r="F26" s="130">
        <v>7.7100000000000002E-2</v>
      </c>
      <c r="G26" s="130" t="s">
        <v>389</v>
      </c>
      <c r="H26" s="130" t="s">
        <v>122</v>
      </c>
      <c r="I26" s="130">
        <v>0.95399999999999996</v>
      </c>
      <c r="J26" s="130">
        <v>1.2667999999999999</v>
      </c>
      <c r="K26" s="136">
        <v>280</v>
      </c>
      <c r="L26" s="130">
        <v>0</v>
      </c>
      <c r="M26" s="130" t="s">
        <v>389</v>
      </c>
      <c r="N26" s="133">
        <v>0</v>
      </c>
      <c r="O26" s="130" t="s">
        <v>389</v>
      </c>
      <c r="P26" s="133">
        <v>0</v>
      </c>
      <c r="Q26" s="133" t="s">
        <v>421</v>
      </c>
      <c r="R26" s="135">
        <v>3.59</v>
      </c>
      <c r="S26" s="135">
        <v>1.1399999999999999</v>
      </c>
      <c r="T26" s="135">
        <v>1.4</v>
      </c>
      <c r="U26" s="135">
        <v>0.51</v>
      </c>
      <c r="V26" s="135">
        <v>8.81</v>
      </c>
      <c r="W26" s="135">
        <v>10.77</v>
      </c>
      <c r="X26" s="135">
        <v>35</v>
      </c>
      <c r="Y26" s="135" t="s">
        <v>701</v>
      </c>
      <c r="Z26" s="133">
        <v>20</v>
      </c>
    </row>
    <row r="27" spans="1:26" ht="12.75" customHeight="1" x14ac:dyDescent="0.2">
      <c r="A27" s="134" t="s">
        <v>357</v>
      </c>
      <c r="B27" s="134" t="s">
        <v>535</v>
      </c>
      <c r="C27" s="135">
        <v>10.16</v>
      </c>
      <c r="D27" s="130">
        <v>0.65190000000000003</v>
      </c>
      <c r="E27" s="130">
        <v>0.57299999999999995</v>
      </c>
      <c r="F27" s="130">
        <v>0</v>
      </c>
      <c r="G27" s="130" t="s">
        <v>389</v>
      </c>
      <c r="H27" s="130" t="s">
        <v>122</v>
      </c>
      <c r="I27" s="130">
        <v>0.6613</v>
      </c>
      <c r="J27" s="130">
        <v>0.70140000000000002</v>
      </c>
      <c r="K27" s="136">
        <v>240</v>
      </c>
      <c r="L27" s="130">
        <v>0</v>
      </c>
      <c r="M27" s="130" t="s">
        <v>389</v>
      </c>
      <c r="N27" s="133">
        <v>0</v>
      </c>
      <c r="O27" s="130" t="s">
        <v>389</v>
      </c>
      <c r="P27" s="133">
        <v>0</v>
      </c>
      <c r="Q27" s="133" t="s">
        <v>421</v>
      </c>
      <c r="R27" s="135">
        <v>3.52</v>
      </c>
      <c r="S27" s="135">
        <v>1.1399999999999999</v>
      </c>
      <c r="T27" s="135">
        <v>1.4</v>
      </c>
      <c r="U27" s="135">
        <v>0.51</v>
      </c>
      <c r="V27" s="135">
        <v>8.81</v>
      </c>
      <c r="W27" s="135">
        <v>10.77</v>
      </c>
      <c r="X27" s="135">
        <v>35</v>
      </c>
      <c r="Y27" s="135" t="s">
        <v>701</v>
      </c>
      <c r="Z27" s="133">
        <v>20.5</v>
      </c>
    </row>
    <row r="28" spans="1:26" ht="12.75" customHeight="1" x14ac:dyDescent="0.25">
      <c r="A28" s="151" t="s">
        <v>726</v>
      </c>
      <c r="B28" s="151" t="s">
        <v>535</v>
      </c>
      <c r="C28" s="152">
        <v>10.16</v>
      </c>
      <c r="D28" s="153">
        <v>0.7</v>
      </c>
      <c r="E28" s="153">
        <v>0.6</v>
      </c>
      <c r="F28" s="153">
        <v>0</v>
      </c>
      <c r="G28" s="153" t="s">
        <v>389</v>
      </c>
      <c r="H28" s="153" t="s">
        <v>122</v>
      </c>
      <c r="I28" s="153">
        <v>0.62160000000000004</v>
      </c>
      <c r="J28" s="153">
        <v>0.67920000000000003</v>
      </c>
      <c r="K28" s="154">
        <v>280</v>
      </c>
      <c r="L28" s="153">
        <v>0</v>
      </c>
      <c r="M28" s="153" t="s">
        <v>389</v>
      </c>
      <c r="N28" s="156">
        <v>0</v>
      </c>
      <c r="O28" s="153" t="s">
        <v>389</v>
      </c>
      <c r="P28" s="156">
        <v>0</v>
      </c>
      <c r="Q28" s="133" t="s">
        <v>421</v>
      </c>
      <c r="R28" s="135">
        <v>3.55</v>
      </c>
      <c r="S28" s="135">
        <v>1.1499999999999999</v>
      </c>
      <c r="T28" s="135">
        <v>1.4</v>
      </c>
      <c r="U28" s="135">
        <v>0.5</v>
      </c>
      <c r="V28" s="135">
        <v>8.8000000000000007</v>
      </c>
      <c r="W28" s="135">
        <v>10.8</v>
      </c>
      <c r="X28" s="135">
        <v>35</v>
      </c>
      <c r="Y28" s="135" t="s">
        <v>701</v>
      </c>
      <c r="Z28" s="155">
        <v>20.8</v>
      </c>
    </row>
    <row r="29" spans="1:26" ht="12.75" customHeight="1" x14ac:dyDescent="0.25">
      <c r="A29" s="94" t="s">
        <v>778</v>
      </c>
      <c r="B29" s="94" t="s">
        <v>779</v>
      </c>
      <c r="C29" s="152">
        <v>7.82</v>
      </c>
      <c r="D29" s="153">
        <v>1.1020000000000001</v>
      </c>
      <c r="E29" s="153">
        <v>0.9194</v>
      </c>
      <c r="F29" s="95">
        <v>0</v>
      </c>
      <c r="G29" s="95" t="s">
        <v>389</v>
      </c>
      <c r="H29" s="95" t="s">
        <v>122</v>
      </c>
      <c r="I29" s="95">
        <v>1.1244000000000001</v>
      </c>
      <c r="J29" s="95">
        <v>1.4621</v>
      </c>
      <c r="K29" s="154">
        <v>280</v>
      </c>
      <c r="L29" s="95">
        <v>1.9530000000000001</v>
      </c>
      <c r="M29" s="153" t="s">
        <v>389</v>
      </c>
      <c r="N29" s="156">
        <v>0</v>
      </c>
      <c r="O29" s="153" t="s">
        <v>389</v>
      </c>
      <c r="P29" s="156">
        <v>0</v>
      </c>
      <c r="Q29" s="133" t="s">
        <v>421</v>
      </c>
      <c r="R29" s="135">
        <v>2.9</v>
      </c>
      <c r="S29" s="135">
        <v>0.84</v>
      </c>
      <c r="T29" s="135">
        <v>1.27</v>
      </c>
      <c r="U29" s="135">
        <v>0.38</v>
      </c>
      <c r="V29" s="135">
        <v>7.87</v>
      </c>
      <c r="W29" s="135">
        <v>9.14</v>
      </c>
      <c r="X29" s="135">
        <v>35</v>
      </c>
      <c r="Y29" s="135" t="s">
        <v>701</v>
      </c>
      <c r="Z29" s="157">
        <v>21.1</v>
      </c>
    </row>
    <row r="30" spans="1:26" ht="12.75" customHeight="1" x14ac:dyDescent="0.25">
      <c r="A30" s="151" t="s">
        <v>729</v>
      </c>
      <c r="B30" s="151" t="s">
        <v>512</v>
      </c>
      <c r="C30" s="152">
        <v>10.16</v>
      </c>
      <c r="D30" s="153">
        <v>1</v>
      </c>
      <c r="E30" s="153">
        <v>0.6</v>
      </c>
      <c r="F30" s="153">
        <v>0</v>
      </c>
      <c r="G30" s="153" t="s">
        <v>389</v>
      </c>
      <c r="H30" s="153" t="s">
        <v>122</v>
      </c>
      <c r="I30" s="153">
        <v>0.55259999999999998</v>
      </c>
      <c r="J30" s="153">
        <v>0.6845</v>
      </c>
      <c r="K30" s="154">
        <v>330</v>
      </c>
      <c r="L30" s="153">
        <v>0.187</v>
      </c>
      <c r="M30" s="153" t="s">
        <v>389</v>
      </c>
      <c r="N30" s="156">
        <v>0</v>
      </c>
      <c r="O30" s="153" t="s">
        <v>389</v>
      </c>
      <c r="P30" s="156">
        <v>0</v>
      </c>
      <c r="Q30" s="133" t="s">
        <v>421</v>
      </c>
      <c r="R30" s="135">
        <v>3.55</v>
      </c>
      <c r="S30" s="135">
        <v>1.1499999999999999</v>
      </c>
      <c r="T30" s="135">
        <v>1.4</v>
      </c>
      <c r="U30" s="135">
        <v>0.5</v>
      </c>
      <c r="V30" s="135">
        <v>8.8000000000000007</v>
      </c>
      <c r="W30" s="135">
        <v>10.8</v>
      </c>
      <c r="X30" s="135">
        <v>35</v>
      </c>
      <c r="Y30" s="135" t="s">
        <v>701</v>
      </c>
      <c r="Z30" s="155">
        <v>22.4</v>
      </c>
    </row>
    <row r="31" spans="1:26" ht="12.75" customHeight="1" x14ac:dyDescent="0.2">
      <c r="A31" s="134" t="s">
        <v>376</v>
      </c>
      <c r="B31" s="134" t="s">
        <v>580</v>
      </c>
      <c r="C31" s="135">
        <v>11.48</v>
      </c>
      <c r="D31" s="130">
        <v>0.72540000000000004</v>
      </c>
      <c r="E31" s="130">
        <v>0.377</v>
      </c>
      <c r="F31" s="130">
        <v>0</v>
      </c>
      <c r="G31" s="130" t="s">
        <v>389</v>
      </c>
      <c r="H31" s="130" t="s">
        <v>122</v>
      </c>
      <c r="I31" s="130">
        <v>0.56220000000000003</v>
      </c>
      <c r="J31" s="130">
        <v>0.63749999999999996</v>
      </c>
      <c r="K31" s="136">
        <v>160</v>
      </c>
      <c r="L31" s="130">
        <v>0</v>
      </c>
      <c r="M31" s="130" t="s">
        <v>389</v>
      </c>
      <c r="N31" s="133">
        <v>0</v>
      </c>
      <c r="O31" s="130" t="s">
        <v>389</v>
      </c>
      <c r="P31" s="133">
        <v>0</v>
      </c>
      <c r="Q31" s="133" t="s">
        <v>421</v>
      </c>
      <c r="R31" s="135">
        <v>4.1100000000000003</v>
      </c>
      <c r="S31" s="135">
        <v>0.89</v>
      </c>
      <c r="T31" s="135">
        <v>1.24</v>
      </c>
      <c r="U31" s="135">
        <v>0.38</v>
      </c>
      <c r="V31" s="135">
        <v>10.16</v>
      </c>
      <c r="W31" s="135">
        <v>11.94</v>
      </c>
      <c r="X31" s="135">
        <v>35</v>
      </c>
      <c r="Y31" s="135" t="s">
        <v>701</v>
      </c>
      <c r="Z31" s="133">
        <v>22.8</v>
      </c>
    </row>
    <row r="32" spans="1:26" ht="12.75" customHeight="1" x14ac:dyDescent="0.2">
      <c r="A32" s="134" t="s">
        <v>768</v>
      </c>
      <c r="B32" s="134" t="s">
        <v>769</v>
      </c>
      <c r="C32" s="135">
        <v>9.07</v>
      </c>
      <c r="D32" s="130">
        <v>0.94379999999999997</v>
      </c>
      <c r="E32" s="130">
        <v>0.27250000000000002</v>
      </c>
      <c r="F32" s="130">
        <v>0</v>
      </c>
      <c r="G32" s="130" t="s">
        <v>389</v>
      </c>
      <c r="H32" s="130" t="s">
        <v>123</v>
      </c>
      <c r="I32" s="130">
        <v>1.4968999999999999</v>
      </c>
      <c r="J32" s="130">
        <v>1.9350000000000001</v>
      </c>
      <c r="K32" s="136">
        <v>120</v>
      </c>
      <c r="L32" s="130">
        <v>3.7999999999999999E-2</v>
      </c>
      <c r="M32" s="130" t="s">
        <v>389</v>
      </c>
      <c r="N32" s="133">
        <v>0</v>
      </c>
      <c r="O32" s="130" t="s">
        <v>389</v>
      </c>
      <c r="P32" s="133">
        <v>0</v>
      </c>
      <c r="Q32" s="133" t="s">
        <v>421</v>
      </c>
      <c r="R32" s="164">
        <v>2.29</v>
      </c>
      <c r="S32" s="164">
        <v>0.64</v>
      </c>
      <c r="T32" s="135">
        <v>1.52</v>
      </c>
      <c r="U32" s="135">
        <v>0.41</v>
      </c>
      <c r="V32" s="164">
        <v>9.1199999999999992</v>
      </c>
      <c r="W32" s="135">
        <v>11.18</v>
      </c>
      <c r="X32" s="135">
        <v>35</v>
      </c>
      <c r="Y32" s="135" t="s">
        <v>701</v>
      </c>
      <c r="Z32" s="133">
        <v>23.6</v>
      </c>
    </row>
    <row r="33" spans="1:26" ht="12.75" customHeight="1" x14ac:dyDescent="0.25">
      <c r="A33" s="94" t="s">
        <v>777</v>
      </c>
      <c r="B33" s="94" t="s">
        <v>677</v>
      </c>
      <c r="C33" s="152">
        <v>9.02</v>
      </c>
      <c r="D33" s="153">
        <v>1</v>
      </c>
      <c r="E33" s="153">
        <v>0.6</v>
      </c>
      <c r="F33" s="95">
        <v>0</v>
      </c>
      <c r="G33" s="95" t="s">
        <v>389</v>
      </c>
      <c r="H33" s="95" t="s">
        <v>122</v>
      </c>
      <c r="I33" s="95">
        <v>1.0785</v>
      </c>
      <c r="J33" s="95">
        <v>1.3371</v>
      </c>
      <c r="K33" s="154">
        <v>360</v>
      </c>
      <c r="L33" s="95">
        <v>1.0369999999999999</v>
      </c>
      <c r="M33" s="153" t="s">
        <v>389</v>
      </c>
      <c r="N33" s="156">
        <v>0</v>
      </c>
      <c r="O33" s="153" t="s">
        <v>389</v>
      </c>
      <c r="P33" s="156">
        <v>0</v>
      </c>
      <c r="Q33" s="133" t="s">
        <v>421</v>
      </c>
      <c r="R33" s="135">
        <v>3</v>
      </c>
      <c r="S33" s="135">
        <v>0.9</v>
      </c>
      <c r="T33" s="135">
        <v>1.25</v>
      </c>
      <c r="U33" s="135">
        <v>0.3</v>
      </c>
      <c r="V33" s="135">
        <v>8.8000000000000007</v>
      </c>
      <c r="W33" s="135">
        <v>9.9499999999999993</v>
      </c>
      <c r="X33" s="135">
        <v>45</v>
      </c>
      <c r="Y33" s="135" t="s">
        <v>701</v>
      </c>
      <c r="Z33" s="157">
        <v>24.2</v>
      </c>
    </row>
    <row r="34" spans="1:26" ht="12.75" customHeight="1" x14ac:dyDescent="0.2">
      <c r="A34" s="134" t="s">
        <v>356</v>
      </c>
      <c r="B34" s="134" t="s">
        <v>579</v>
      </c>
      <c r="C34" s="135">
        <v>10.16</v>
      </c>
      <c r="D34" s="130">
        <v>0.62360000000000004</v>
      </c>
      <c r="E34" s="130">
        <v>0.73480000000000001</v>
      </c>
      <c r="F34" s="130">
        <v>0</v>
      </c>
      <c r="G34" s="130" t="s">
        <v>389</v>
      </c>
      <c r="H34" s="130" t="s">
        <v>122</v>
      </c>
      <c r="I34" s="130">
        <v>0.72860000000000003</v>
      </c>
      <c r="J34" s="130">
        <v>0.75490000000000002</v>
      </c>
      <c r="K34" s="136">
        <v>260</v>
      </c>
      <c r="L34" s="130">
        <v>0.18099999999999999</v>
      </c>
      <c r="M34" s="130" t="s">
        <v>389</v>
      </c>
      <c r="N34" s="133">
        <v>0</v>
      </c>
      <c r="O34" s="130" t="s">
        <v>389</v>
      </c>
      <c r="P34" s="133">
        <v>0</v>
      </c>
      <c r="Q34" s="133" t="s">
        <v>421</v>
      </c>
      <c r="R34" s="135">
        <v>3.63</v>
      </c>
      <c r="S34" s="135">
        <v>1.25</v>
      </c>
      <c r="T34" s="135">
        <v>1.4</v>
      </c>
      <c r="U34" s="135">
        <v>0.5</v>
      </c>
      <c r="V34" s="135">
        <v>8.85</v>
      </c>
      <c r="W34" s="135">
        <v>10.85</v>
      </c>
      <c r="X34" s="135">
        <v>45</v>
      </c>
      <c r="Y34" s="135" t="s">
        <v>701</v>
      </c>
      <c r="Z34" s="133">
        <v>24.9</v>
      </c>
    </row>
    <row r="35" spans="1:26" ht="12.75" customHeight="1" x14ac:dyDescent="0.25">
      <c r="A35" s="151" t="s">
        <v>730</v>
      </c>
      <c r="B35" s="151" t="s">
        <v>546</v>
      </c>
      <c r="C35" s="152">
        <v>11.48</v>
      </c>
      <c r="D35" s="153">
        <v>1</v>
      </c>
      <c r="E35" s="153">
        <v>0.6</v>
      </c>
      <c r="F35" s="153">
        <v>0</v>
      </c>
      <c r="G35" s="153" t="s">
        <v>389</v>
      </c>
      <c r="H35" s="153" t="s">
        <v>122</v>
      </c>
      <c r="I35" s="153">
        <v>0.37640000000000001</v>
      </c>
      <c r="J35" s="153">
        <v>0.46600000000000003</v>
      </c>
      <c r="K35" s="154">
        <v>280</v>
      </c>
      <c r="L35" s="153">
        <v>0.19400000000000001</v>
      </c>
      <c r="M35" s="153" t="s">
        <v>389</v>
      </c>
      <c r="N35" s="156">
        <v>0</v>
      </c>
      <c r="O35" s="153" t="s">
        <v>389</v>
      </c>
      <c r="P35" s="156">
        <v>0</v>
      </c>
      <c r="Q35" s="133" t="s">
        <v>421</v>
      </c>
      <c r="R35" s="135">
        <v>4.0999999999999996</v>
      </c>
      <c r="S35" s="135">
        <v>0.9</v>
      </c>
      <c r="T35" s="135">
        <v>1.25</v>
      </c>
      <c r="U35" s="135">
        <v>0.4</v>
      </c>
      <c r="V35" s="135">
        <v>10.199999999999999</v>
      </c>
      <c r="W35" s="135">
        <v>12.2</v>
      </c>
      <c r="X35" s="135">
        <v>35</v>
      </c>
      <c r="Y35" s="135" t="s">
        <v>701</v>
      </c>
      <c r="Z35" s="155">
        <v>26.2</v>
      </c>
    </row>
    <row r="36" spans="1:26" ht="12.75" customHeight="1" x14ac:dyDescent="0.2">
      <c r="A36" s="134" t="s">
        <v>360</v>
      </c>
      <c r="B36" s="134" t="s">
        <v>572</v>
      </c>
      <c r="C36" s="135">
        <v>9.07</v>
      </c>
      <c r="D36" s="130">
        <v>0.74539999999999995</v>
      </c>
      <c r="E36" s="130">
        <v>0.83989999999999998</v>
      </c>
      <c r="F36" s="130">
        <v>0</v>
      </c>
      <c r="G36" s="130" t="s">
        <v>389</v>
      </c>
      <c r="H36" s="130" t="s">
        <v>123</v>
      </c>
      <c r="I36" s="130">
        <v>1.1387</v>
      </c>
      <c r="J36" s="130">
        <v>1.2553000000000001</v>
      </c>
      <c r="K36" s="136">
        <v>240</v>
      </c>
      <c r="L36" s="130">
        <v>4.1000000000000002E-2</v>
      </c>
      <c r="M36" s="130" t="s">
        <v>389</v>
      </c>
      <c r="N36" s="133">
        <v>0</v>
      </c>
      <c r="O36" s="130" t="s">
        <v>389</v>
      </c>
      <c r="P36" s="133">
        <v>0</v>
      </c>
      <c r="Q36" s="133" t="s">
        <v>421</v>
      </c>
      <c r="R36" s="164">
        <v>2.29</v>
      </c>
      <c r="S36" s="164">
        <v>0.64</v>
      </c>
      <c r="T36" s="135">
        <v>1.52</v>
      </c>
      <c r="U36" s="135">
        <v>0.41</v>
      </c>
      <c r="V36" s="164">
        <v>9.1199999999999992</v>
      </c>
      <c r="W36" s="135">
        <v>11.18</v>
      </c>
      <c r="X36" s="135">
        <v>35</v>
      </c>
      <c r="Y36" s="135" t="s">
        <v>701</v>
      </c>
      <c r="Z36" s="133">
        <v>27</v>
      </c>
    </row>
    <row r="37" spans="1:26" ht="12.75" customHeight="1" x14ac:dyDescent="0.2">
      <c r="A37" s="134" t="s">
        <v>759</v>
      </c>
      <c r="B37" s="134" t="s">
        <v>581</v>
      </c>
      <c r="C37" s="135">
        <v>11.48</v>
      </c>
      <c r="D37" s="130">
        <v>0.72570000000000001</v>
      </c>
      <c r="E37" s="130">
        <v>0.37680000000000002</v>
      </c>
      <c r="F37" s="130">
        <v>0</v>
      </c>
      <c r="G37" s="130" t="s">
        <v>389</v>
      </c>
      <c r="H37" s="130" t="s">
        <v>122</v>
      </c>
      <c r="I37" s="130">
        <v>0.77439999999999998</v>
      </c>
      <c r="J37" s="130">
        <v>0.87829999999999997</v>
      </c>
      <c r="K37" s="136">
        <v>200</v>
      </c>
      <c r="L37" s="130">
        <v>1E-3</v>
      </c>
      <c r="M37" s="130" t="s">
        <v>389</v>
      </c>
      <c r="N37" s="133">
        <v>0</v>
      </c>
      <c r="O37" s="130" t="s">
        <v>389</v>
      </c>
      <c r="P37" s="133">
        <v>0</v>
      </c>
      <c r="Q37" s="133" t="s">
        <v>421</v>
      </c>
      <c r="R37" s="135">
        <v>4.1100000000000003</v>
      </c>
      <c r="S37" s="135">
        <v>0.89</v>
      </c>
      <c r="T37" s="135">
        <v>1.24</v>
      </c>
      <c r="U37" s="135">
        <v>0.38</v>
      </c>
      <c r="V37" s="135">
        <v>10.16</v>
      </c>
      <c r="W37" s="135">
        <v>12.19</v>
      </c>
      <c r="X37" s="135">
        <v>35</v>
      </c>
      <c r="Y37" s="135" t="s">
        <v>701</v>
      </c>
      <c r="Z37" s="133">
        <v>28</v>
      </c>
    </row>
    <row r="38" spans="1:26" ht="12.75" customHeight="1" x14ac:dyDescent="0.2">
      <c r="A38" s="126" t="s">
        <v>385</v>
      </c>
      <c r="B38" s="126" t="s">
        <v>680</v>
      </c>
      <c r="C38" s="127">
        <v>5.6</v>
      </c>
      <c r="D38" s="128">
        <v>2.9049999999999998</v>
      </c>
      <c r="E38" s="128">
        <v>1.0489999999999999</v>
      </c>
      <c r="F38" s="128">
        <v>0.59399999999999997</v>
      </c>
      <c r="G38" s="128" t="s">
        <v>421</v>
      </c>
      <c r="H38" s="128" t="s">
        <v>122</v>
      </c>
      <c r="I38" s="128">
        <v>0.94110000000000005</v>
      </c>
      <c r="J38" s="128">
        <v>3.351</v>
      </c>
      <c r="K38" s="129">
        <v>380</v>
      </c>
      <c r="L38" s="128">
        <v>1.6032999999999999</v>
      </c>
      <c r="M38" s="130" t="s">
        <v>389</v>
      </c>
      <c r="N38" s="133">
        <v>0</v>
      </c>
      <c r="O38" s="130" t="s">
        <v>389</v>
      </c>
      <c r="P38" s="133">
        <v>0</v>
      </c>
      <c r="Q38" s="133" t="s">
        <v>421</v>
      </c>
      <c r="R38" s="135">
        <v>3.2</v>
      </c>
      <c r="S38" s="135">
        <v>1</v>
      </c>
      <c r="T38" s="135">
        <v>1.5</v>
      </c>
      <c r="U38" s="135">
        <v>0.5</v>
      </c>
      <c r="V38" s="135">
        <v>8.6</v>
      </c>
      <c r="W38" s="135">
        <v>10</v>
      </c>
      <c r="X38" s="135">
        <v>45</v>
      </c>
      <c r="Y38" s="135" t="s">
        <v>702</v>
      </c>
      <c r="Z38" s="137">
        <v>28.1</v>
      </c>
    </row>
    <row r="39" spans="1:26" ht="12.75" customHeight="1" x14ac:dyDescent="0.25">
      <c r="A39" s="151" t="s">
        <v>751</v>
      </c>
      <c r="B39" s="151" t="s">
        <v>536</v>
      </c>
      <c r="C39" s="152">
        <v>10.16</v>
      </c>
      <c r="D39" s="153">
        <v>1</v>
      </c>
      <c r="E39" s="153">
        <v>0.6</v>
      </c>
      <c r="F39" s="153">
        <v>0</v>
      </c>
      <c r="G39" s="153" t="s">
        <v>389</v>
      </c>
      <c r="H39" s="153" t="s">
        <v>122</v>
      </c>
      <c r="I39" s="153">
        <v>0.81369999999999998</v>
      </c>
      <c r="J39" s="153">
        <v>1.0079</v>
      </c>
      <c r="K39" s="154">
        <v>330</v>
      </c>
      <c r="L39" s="153">
        <v>0.26400000000000001</v>
      </c>
      <c r="M39" s="153" t="s">
        <v>389</v>
      </c>
      <c r="N39" s="156">
        <v>0</v>
      </c>
      <c r="O39" s="153" t="s">
        <v>389</v>
      </c>
      <c r="P39" s="156">
        <v>0</v>
      </c>
      <c r="Q39" s="133" t="s">
        <v>421</v>
      </c>
      <c r="R39" s="135">
        <v>3.55</v>
      </c>
      <c r="S39" s="135">
        <v>1.1499999999999999</v>
      </c>
      <c r="T39" s="135">
        <v>1.4</v>
      </c>
      <c r="U39" s="135">
        <v>0.5</v>
      </c>
      <c r="V39" s="135">
        <v>8.8000000000000007</v>
      </c>
      <c r="W39" s="135">
        <v>10.8</v>
      </c>
      <c r="X39" s="135">
        <v>35</v>
      </c>
      <c r="Y39" s="135" t="s">
        <v>701</v>
      </c>
      <c r="Z39" s="155">
        <v>28.6</v>
      </c>
    </row>
    <row r="40" spans="1:26" ht="12.75" customHeight="1" x14ac:dyDescent="0.25">
      <c r="A40" s="151" t="s">
        <v>756</v>
      </c>
      <c r="B40" s="151" t="s">
        <v>619</v>
      </c>
      <c r="C40" s="152">
        <v>5.7</v>
      </c>
      <c r="D40" s="153">
        <v>3</v>
      </c>
      <c r="E40" s="153">
        <v>1.2</v>
      </c>
      <c r="F40" s="153">
        <v>0.6</v>
      </c>
      <c r="G40" s="153" t="s">
        <v>421</v>
      </c>
      <c r="H40" s="153" t="s">
        <v>122</v>
      </c>
      <c r="I40" s="153">
        <v>0.9758</v>
      </c>
      <c r="J40" s="153">
        <v>3.2404999999999999</v>
      </c>
      <c r="K40" s="154">
        <v>440</v>
      </c>
      <c r="L40" s="153">
        <v>0.96199999999999997</v>
      </c>
      <c r="M40" s="153" t="s">
        <v>395</v>
      </c>
      <c r="N40" s="156">
        <v>0.2</v>
      </c>
      <c r="O40" s="153" t="s">
        <v>395</v>
      </c>
      <c r="P40" s="156">
        <v>0.4</v>
      </c>
      <c r="Q40" s="133" t="s">
        <v>421</v>
      </c>
      <c r="R40" s="135">
        <v>3.2</v>
      </c>
      <c r="S40" s="135">
        <v>1</v>
      </c>
      <c r="T40" s="135">
        <v>1.5</v>
      </c>
      <c r="U40" s="135">
        <v>0.5</v>
      </c>
      <c r="V40" s="135">
        <v>8.6</v>
      </c>
      <c r="W40" s="135">
        <v>10</v>
      </c>
      <c r="X40" s="135">
        <v>45</v>
      </c>
      <c r="Y40" s="135" t="s">
        <v>701</v>
      </c>
      <c r="Z40" s="155">
        <v>29.9</v>
      </c>
    </row>
    <row r="41" spans="1:26" ht="12.75" customHeight="1" x14ac:dyDescent="0.25">
      <c r="A41" s="151" t="s">
        <v>752</v>
      </c>
      <c r="B41" s="151" t="s">
        <v>583</v>
      </c>
      <c r="C41" s="152">
        <v>11.48</v>
      </c>
      <c r="D41" s="153">
        <v>0.8</v>
      </c>
      <c r="E41" s="153">
        <v>0.6</v>
      </c>
      <c r="F41" s="153">
        <v>0</v>
      </c>
      <c r="G41" s="153" t="s">
        <v>389</v>
      </c>
      <c r="H41" s="153" t="s">
        <v>122</v>
      </c>
      <c r="I41" s="153">
        <v>0.54710000000000003</v>
      </c>
      <c r="J41" s="153">
        <v>0.63759999999999994</v>
      </c>
      <c r="K41" s="154">
        <v>280</v>
      </c>
      <c r="L41" s="153">
        <v>0.154</v>
      </c>
      <c r="M41" s="153" t="s">
        <v>389</v>
      </c>
      <c r="N41" s="156">
        <v>0</v>
      </c>
      <c r="O41" s="153" t="s">
        <v>389</v>
      </c>
      <c r="P41" s="156">
        <v>0</v>
      </c>
      <c r="Q41" s="133" t="s">
        <v>421</v>
      </c>
      <c r="R41" s="135">
        <v>4.0999999999999996</v>
      </c>
      <c r="S41" s="135">
        <v>0.9</v>
      </c>
      <c r="T41" s="135">
        <v>1.25</v>
      </c>
      <c r="U41" s="135">
        <v>0.4</v>
      </c>
      <c r="V41" s="135">
        <v>10.199999999999999</v>
      </c>
      <c r="W41" s="135">
        <v>12.2</v>
      </c>
      <c r="X41" s="135">
        <v>35</v>
      </c>
      <c r="Y41" s="135" t="s">
        <v>701</v>
      </c>
      <c r="Z41" s="155">
        <v>30</v>
      </c>
    </row>
    <row r="42" spans="1:26" ht="12.75" customHeight="1" x14ac:dyDescent="0.2">
      <c r="A42" s="134" t="s">
        <v>582</v>
      </c>
      <c r="B42" s="134" t="s">
        <v>583</v>
      </c>
      <c r="C42" s="135">
        <v>11.48</v>
      </c>
      <c r="D42" s="130">
        <v>0.59889999999999999</v>
      </c>
      <c r="E42" s="130">
        <v>0.47499999999999998</v>
      </c>
      <c r="F42" s="130">
        <v>0</v>
      </c>
      <c r="G42" s="130" t="s">
        <v>389</v>
      </c>
      <c r="H42" s="130" t="s">
        <v>122</v>
      </c>
      <c r="I42" s="130">
        <v>0.97889999999999999</v>
      </c>
      <c r="J42" s="130">
        <v>0.99350000000000005</v>
      </c>
      <c r="K42" s="136">
        <v>280</v>
      </c>
      <c r="L42" s="130">
        <v>0</v>
      </c>
      <c r="M42" s="130" t="s">
        <v>395</v>
      </c>
      <c r="N42" s="133">
        <v>0.1</v>
      </c>
      <c r="O42" s="130" t="s">
        <v>389</v>
      </c>
      <c r="P42" s="133">
        <v>0</v>
      </c>
      <c r="Q42" s="133" t="s">
        <v>421</v>
      </c>
      <c r="R42" s="135">
        <v>4.1100000000000003</v>
      </c>
      <c r="S42" s="135">
        <v>0.89</v>
      </c>
      <c r="T42" s="135">
        <v>1.24</v>
      </c>
      <c r="U42" s="135">
        <v>0.38</v>
      </c>
      <c r="V42" s="135">
        <v>10.16</v>
      </c>
      <c r="W42" s="135">
        <v>12.19</v>
      </c>
      <c r="X42" s="135">
        <v>35</v>
      </c>
      <c r="Y42" s="135" t="s">
        <v>701</v>
      </c>
      <c r="Z42" s="133">
        <v>30</v>
      </c>
    </row>
    <row r="43" spans="1:26" ht="12.75" customHeight="1" x14ac:dyDescent="0.25">
      <c r="A43" s="151" t="s">
        <v>749</v>
      </c>
      <c r="B43" s="151" t="s">
        <v>370</v>
      </c>
      <c r="C43" s="152">
        <v>5.7</v>
      </c>
      <c r="D43" s="153">
        <v>2.5163000000000002</v>
      </c>
      <c r="E43" s="153">
        <v>0.91590000000000005</v>
      </c>
      <c r="F43" s="153">
        <v>0.41489999999999999</v>
      </c>
      <c r="G43" s="153" t="s">
        <v>421</v>
      </c>
      <c r="H43" s="153" t="s">
        <v>122</v>
      </c>
      <c r="I43" s="153">
        <v>1.3573</v>
      </c>
      <c r="J43" s="153">
        <v>4.2107999999999999</v>
      </c>
      <c r="K43" s="154">
        <v>440</v>
      </c>
      <c r="L43" s="153">
        <v>0.99550000000000005</v>
      </c>
      <c r="M43" s="153" t="s">
        <v>389</v>
      </c>
      <c r="N43" s="156">
        <v>0</v>
      </c>
      <c r="O43" s="153" t="s">
        <v>389</v>
      </c>
      <c r="P43" s="156">
        <v>0</v>
      </c>
      <c r="Q43" s="133" t="s">
        <v>421</v>
      </c>
      <c r="R43" s="135">
        <v>3.13</v>
      </c>
      <c r="S43" s="135">
        <v>0.76</v>
      </c>
      <c r="T43" s="135">
        <v>1.1399999999999999</v>
      </c>
      <c r="U43" s="135">
        <v>0.45</v>
      </c>
      <c r="V43" s="135">
        <v>8.43</v>
      </c>
      <c r="W43" s="135">
        <v>9.6</v>
      </c>
      <c r="X43" s="135">
        <v>35</v>
      </c>
      <c r="Y43" s="135" t="s">
        <v>701</v>
      </c>
      <c r="Z43" s="155">
        <v>30.3</v>
      </c>
    </row>
    <row r="44" spans="1:26" ht="12.75" customHeight="1" x14ac:dyDescent="0.2">
      <c r="A44" s="126" t="s">
        <v>369</v>
      </c>
      <c r="B44" s="126" t="s">
        <v>370</v>
      </c>
      <c r="C44" s="127">
        <v>5.7</v>
      </c>
      <c r="D44" s="128">
        <v>2.0524</v>
      </c>
      <c r="E44" s="128">
        <v>0.91590000000000005</v>
      </c>
      <c r="F44" s="128">
        <v>0.41489999999999999</v>
      </c>
      <c r="G44" s="128" t="s">
        <v>421</v>
      </c>
      <c r="H44" s="128" t="s">
        <v>122</v>
      </c>
      <c r="I44" s="128">
        <v>1.5269999999999999</v>
      </c>
      <c r="J44" s="128">
        <v>4.6510999999999996</v>
      </c>
      <c r="K44" s="129">
        <v>430</v>
      </c>
      <c r="L44" s="128">
        <v>0.99519999999999997</v>
      </c>
      <c r="M44" s="130" t="s">
        <v>389</v>
      </c>
      <c r="N44" s="133">
        <v>0</v>
      </c>
      <c r="O44" s="130" t="s">
        <v>389</v>
      </c>
      <c r="P44" s="133">
        <v>0</v>
      </c>
      <c r="Q44" s="133" t="s">
        <v>421</v>
      </c>
      <c r="R44" s="135">
        <v>3.13</v>
      </c>
      <c r="S44" s="135">
        <v>0.76</v>
      </c>
      <c r="T44" s="135">
        <v>1.1399999999999999</v>
      </c>
      <c r="U44" s="135">
        <v>0.45</v>
      </c>
      <c r="V44" s="135">
        <v>8.43</v>
      </c>
      <c r="W44" s="135">
        <v>9.6</v>
      </c>
      <c r="X44" s="135">
        <v>35</v>
      </c>
      <c r="Y44" s="135" t="s">
        <v>701</v>
      </c>
      <c r="Z44" s="137">
        <v>30.4</v>
      </c>
    </row>
    <row r="45" spans="1:26" ht="12.75" customHeight="1" x14ac:dyDescent="0.2">
      <c r="A45" s="126" t="s">
        <v>791</v>
      </c>
      <c r="B45" s="126" t="s">
        <v>679</v>
      </c>
      <c r="C45" s="127">
        <v>6</v>
      </c>
      <c r="D45" s="128">
        <v>2.5541999999999998</v>
      </c>
      <c r="E45" s="128">
        <v>0.70660000000000001</v>
      </c>
      <c r="F45" s="128">
        <v>0.55469999999999997</v>
      </c>
      <c r="G45" s="128" t="s">
        <v>421</v>
      </c>
      <c r="H45" s="128" t="s">
        <v>122</v>
      </c>
      <c r="I45" s="128">
        <v>1.1793</v>
      </c>
      <c r="J45" s="128">
        <v>3.9055</v>
      </c>
      <c r="K45" s="129">
        <v>380</v>
      </c>
      <c r="L45" s="128">
        <v>1.9867999999999999</v>
      </c>
      <c r="M45" s="130" t="s">
        <v>389</v>
      </c>
      <c r="N45" s="133">
        <v>0</v>
      </c>
      <c r="O45" s="130" t="s">
        <v>389</v>
      </c>
      <c r="P45" s="133">
        <v>0</v>
      </c>
      <c r="Q45" s="133" t="s">
        <v>421</v>
      </c>
      <c r="R45" s="135">
        <v>3.45</v>
      </c>
      <c r="S45" s="135">
        <v>1.1399999999999999</v>
      </c>
      <c r="T45" s="135">
        <v>1.42</v>
      </c>
      <c r="U45" s="164">
        <v>0.47</v>
      </c>
      <c r="V45" s="135">
        <v>8.64</v>
      </c>
      <c r="W45" s="135">
        <v>10.42</v>
      </c>
      <c r="X45" s="164">
        <v>45</v>
      </c>
      <c r="Y45" s="135" t="s">
        <v>702</v>
      </c>
      <c r="Z45" s="137">
        <v>32.6</v>
      </c>
    </row>
    <row r="46" spans="1:26" ht="12.75" customHeight="1" x14ac:dyDescent="0.2">
      <c r="A46" s="126" t="s">
        <v>792</v>
      </c>
      <c r="B46" s="126" t="s">
        <v>679</v>
      </c>
      <c r="C46" s="127">
        <v>6</v>
      </c>
      <c r="D46" s="128">
        <v>2.6997</v>
      </c>
      <c r="E46" s="128">
        <v>1.0065999999999999</v>
      </c>
      <c r="F46" s="128">
        <v>0.55410000000000004</v>
      </c>
      <c r="G46" s="128" t="s">
        <v>421</v>
      </c>
      <c r="H46" s="128" t="s">
        <v>122</v>
      </c>
      <c r="I46" s="128">
        <v>1.0651999999999999</v>
      </c>
      <c r="J46" s="128">
        <v>3.4249999999999998</v>
      </c>
      <c r="K46" s="129">
        <v>380</v>
      </c>
      <c r="L46" s="128">
        <v>1.9875</v>
      </c>
      <c r="M46" s="130" t="s">
        <v>395</v>
      </c>
      <c r="N46" s="133">
        <v>0.3</v>
      </c>
      <c r="O46" s="130" t="s">
        <v>389</v>
      </c>
      <c r="P46" s="133">
        <v>0</v>
      </c>
      <c r="Q46" s="133" t="s">
        <v>421</v>
      </c>
      <c r="R46" s="135">
        <v>3.45</v>
      </c>
      <c r="S46" s="135">
        <v>1.1399999999999999</v>
      </c>
      <c r="T46" s="135">
        <v>1.42</v>
      </c>
      <c r="U46" s="164">
        <v>0.47</v>
      </c>
      <c r="V46" s="135">
        <v>8.64</v>
      </c>
      <c r="W46" s="135">
        <v>10.42</v>
      </c>
      <c r="X46" s="164">
        <v>45</v>
      </c>
      <c r="Y46" s="135" t="s">
        <v>702</v>
      </c>
      <c r="Z46" s="137">
        <v>32.6</v>
      </c>
    </row>
    <row r="47" spans="1:26" ht="12.75" customHeight="1" x14ac:dyDescent="0.25">
      <c r="A47" s="151" t="s">
        <v>750</v>
      </c>
      <c r="B47" s="151" t="s">
        <v>547</v>
      </c>
      <c r="C47" s="152">
        <v>11.48</v>
      </c>
      <c r="D47" s="153">
        <v>1</v>
      </c>
      <c r="E47" s="153">
        <v>0.6</v>
      </c>
      <c r="F47" s="153">
        <v>0</v>
      </c>
      <c r="G47" s="153" t="s">
        <v>389</v>
      </c>
      <c r="H47" s="153" t="s">
        <v>122</v>
      </c>
      <c r="I47" s="153">
        <v>0.58919999999999995</v>
      </c>
      <c r="J47" s="153">
        <v>0.72940000000000005</v>
      </c>
      <c r="K47" s="154">
        <v>280</v>
      </c>
      <c r="L47" s="153">
        <v>0</v>
      </c>
      <c r="M47" s="153" t="s">
        <v>389</v>
      </c>
      <c r="N47" s="156">
        <v>0</v>
      </c>
      <c r="O47" s="153" t="s">
        <v>389</v>
      </c>
      <c r="P47" s="156">
        <v>0</v>
      </c>
      <c r="Q47" s="133" t="s">
        <v>421</v>
      </c>
      <c r="R47" s="135">
        <v>4.0999999999999996</v>
      </c>
      <c r="S47" s="135">
        <v>0.9</v>
      </c>
      <c r="T47" s="135">
        <v>1.25</v>
      </c>
      <c r="U47" s="135">
        <v>0.4</v>
      </c>
      <c r="V47" s="135">
        <v>10.199999999999999</v>
      </c>
      <c r="W47" s="135">
        <v>12.2</v>
      </c>
      <c r="X47" s="135">
        <v>35</v>
      </c>
      <c r="Y47" s="135" t="s">
        <v>701</v>
      </c>
      <c r="Z47" s="155">
        <v>33.700000000000003</v>
      </c>
    </row>
    <row r="48" spans="1:26" ht="12.75" customHeight="1" x14ac:dyDescent="0.2">
      <c r="A48" s="134" t="s">
        <v>771</v>
      </c>
      <c r="B48" s="134" t="s">
        <v>773</v>
      </c>
      <c r="C48" s="135">
        <v>10.92</v>
      </c>
      <c r="D48" s="130">
        <v>0.87719999999999998</v>
      </c>
      <c r="E48" s="130">
        <v>0.48449999999999999</v>
      </c>
      <c r="F48" s="130">
        <v>0</v>
      </c>
      <c r="G48" s="130" t="s">
        <v>389</v>
      </c>
      <c r="H48" s="130" t="s">
        <v>123</v>
      </c>
      <c r="I48" s="130">
        <v>0.97909999999999997</v>
      </c>
      <c r="J48" s="130">
        <v>1.2145999999999999</v>
      </c>
      <c r="K48" s="136">
        <v>110</v>
      </c>
      <c r="L48" s="130">
        <v>9.5000000000000001E-2</v>
      </c>
      <c r="M48" s="130" t="s">
        <v>389</v>
      </c>
      <c r="N48" s="133">
        <v>0</v>
      </c>
      <c r="O48" s="130" t="s">
        <v>389</v>
      </c>
      <c r="P48" s="133">
        <v>0</v>
      </c>
      <c r="Q48" s="133" t="s">
        <v>421</v>
      </c>
      <c r="R48" s="164">
        <v>2.29</v>
      </c>
      <c r="S48" s="164">
        <v>0.64</v>
      </c>
      <c r="T48" s="135">
        <v>1.52</v>
      </c>
      <c r="U48" s="135">
        <v>0.41</v>
      </c>
      <c r="V48" s="164">
        <v>11.1</v>
      </c>
      <c r="W48" s="135">
        <v>13.06</v>
      </c>
      <c r="X48" s="135">
        <v>35</v>
      </c>
      <c r="Y48" s="135" t="s">
        <v>701</v>
      </c>
      <c r="Z48" s="133">
        <v>34.9</v>
      </c>
    </row>
    <row r="49" spans="1:26" ht="12.75" customHeight="1" x14ac:dyDescent="0.2">
      <c r="A49" s="151" t="s">
        <v>780</v>
      </c>
      <c r="B49" s="151" t="s">
        <v>782</v>
      </c>
      <c r="C49" s="152">
        <v>8.1999999999999993</v>
      </c>
      <c r="D49" s="153">
        <v>1.6871</v>
      </c>
      <c r="E49" s="153">
        <v>0.64839999999999998</v>
      </c>
      <c r="F49" s="153">
        <v>0.29370000000000002</v>
      </c>
      <c r="G49" s="153" t="s">
        <v>421</v>
      </c>
      <c r="H49" s="153" t="s">
        <v>122</v>
      </c>
      <c r="I49" s="153">
        <v>0.84899999999999998</v>
      </c>
      <c r="J49" s="153">
        <v>2.1181999999999999</v>
      </c>
      <c r="K49" s="154">
        <v>390</v>
      </c>
      <c r="L49" s="153">
        <v>1.7988</v>
      </c>
      <c r="M49" s="153" t="s">
        <v>389</v>
      </c>
      <c r="N49" s="156">
        <v>0</v>
      </c>
      <c r="O49" s="153" t="s">
        <v>389</v>
      </c>
      <c r="P49" s="156">
        <v>0</v>
      </c>
      <c r="Q49" s="133" t="s">
        <v>421</v>
      </c>
      <c r="R49" s="135">
        <v>3.19</v>
      </c>
      <c r="S49" s="135">
        <v>0.9</v>
      </c>
      <c r="T49" s="135">
        <v>1.3</v>
      </c>
      <c r="U49" s="135">
        <v>0.3</v>
      </c>
      <c r="V49" s="135">
        <v>10.5</v>
      </c>
      <c r="W49" s="135">
        <v>11.95</v>
      </c>
      <c r="X49" s="135">
        <v>45</v>
      </c>
      <c r="Y49" s="135" t="s">
        <v>701</v>
      </c>
      <c r="Z49" s="156">
        <v>34.9</v>
      </c>
    </row>
    <row r="50" spans="1:26" ht="12.75" customHeight="1" x14ac:dyDescent="0.25">
      <c r="A50" s="151" t="s">
        <v>748</v>
      </c>
      <c r="B50" s="151" t="s">
        <v>557</v>
      </c>
      <c r="C50" s="152">
        <v>9.85</v>
      </c>
      <c r="D50" s="153">
        <v>2.5</v>
      </c>
      <c r="E50" s="153">
        <v>1.4</v>
      </c>
      <c r="F50" s="153">
        <v>0.7</v>
      </c>
      <c r="G50" s="153" t="s">
        <v>421</v>
      </c>
      <c r="H50" s="153" t="s">
        <v>122</v>
      </c>
      <c r="I50" s="153">
        <v>0.30030000000000001</v>
      </c>
      <c r="J50" s="153">
        <v>0.31950000000000001</v>
      </c>
      <c r="K50" s="154">
        <v>360</v>
      </c>
      <c r="L50" s="153">
        <v>1.087</v>
      </c>
      <c r="M50" s="153" t="s">
        <v>395</v>
      </c>
      <c r="N50" s="156">
        <v>0.1</v>
      </c>
      <c r="O50" s="153" t="s">
        <v>395</v>
      </c>
      <c r="P50" s="156">
        <v>0.1</v>
      </c>
      <c r="Q50" s="133" t="s">
        <v>421</v>
      </c>
      <c r="R50" s="135">
        <v>3.2</v>
      </c>
      <c r="S50" s="135">
        <v>1</v>
      </c>
      <c r="T50" s="135">
        <v>1.5</v>
      </c>
      <c r="U50" s="135">
        <v>0.5</v>
      </c>
      <c r="V50" s="135">
        <v>9.5</v>
      </c>
      <c r="W50" s="135">
        <v>11.3</v>
      </c>
      <c r="X50" s="135">
        <v>45</v>
      </c>
      <c r="Y50" s="135" t="s">
        <v>701</v>
      </c>
      <c r="Z50" s="155">
        <v>35.200000000000003</v>
      </c>
    </row>
    <row r="51" spans="1:26" ht="12.75" customHeight="1" x14ac:dyDescent="0.2">
      <c r="A51" s="134" t="s">
        <v>761</v>
      </c>
      <c r="B51" s="134" t="s">
        <v>592</v>
      </c>
      <c r="C51" s="135">
        <v>10.41</v>
      </c>
      <c r="D51" s="130">
        <v>0.66839999999999999</v>
      </c>
      <c r="E51" s="130">
        <v>0.88190000000000002</v>
      </c>
      <c r="F51" s="130">
        <v>0</v>
      </c>
      <c r="G51" s="130" t="s">
        <v>389</v>
      </c>
      <c r="H51" s="130" t="s">
        <v>123</v>
      </c>
      <c r="I51" s="130">
        <v>0.93969999999999998</v>
      </c>
      <c r="J51" s="130">
        <v>0.99350000000000005</v>
      </c>
      <c r="K51" s="136">
        <v>250</v>
      </c>
      <c r="L51" s="130">
        <v>0</v>
      </c>
      <c r="M51" s="130" t="s">
        <v>389</v>
      </c>
      <c r="N51" s="133">
        <v>0</v>
      </c>
      <c r="O51" s="130" t="s">
        <v>389</v>
      </c>
      <c r="P51" s="133">
        <v>0</v>
      </c>
      <c r="Q51" s="133" t="s">
        <v>421</v>
      </c>
      <c r="R51" s="164">
        <v>2.29</v>
      </c>
      <c r="S51" s="164">
        <v>0.64</v>
      </c>
      <c r="T51" s="135">
        <v>1.52</v>
      </c>
      <c r="U51" s="135">
        <v>0.41</v>
      </c>
      <c r="V51" s="164">
        <v>10.52</v>
      </c>
      <c r="W51" s="135">
        <v>12.57</v>
      </c>
      <c r="X51" s="135">
        <v>35</v>
      </c>
      <c r="Y51" s="135" t="s">
        <v>701</v>
      </c>
      <c r="Z51" s="133">
        <v>35.799999999999997</v>
      </c>
    </row>
    <row r="52" spans="1:26" ht="12.75" customHeight="1" x14ac:dyDescent="0.2">
      <c r="A52" s="126" t="s">
        <v>386</v>
      </c>
      <c r="B52" s="126" t="s">
        <v>590</v>
      </c>
      <c r="C52" s="127">
        <v>7.92</v>
      </c>
      <c r="D52" s="128">
        <v>2.0009999999999999</v>
      </c>
      <c r="E52" s="128">
        <v>0.72399999999999998</v>
      </c>
      <c r="F52" s="128">
        <v>0.19389999999999999</v>
      </c>
      <c r="G52" s="130" t="s">
        <v>421</v>
      </c>
      <c r="H52" s="130" t="s">
        <v>122</v>
      </c>
      <c r="I52" s="128">
        <v>1.0163</v>
      </c>
      <c r="J52" s="128">
        <v>2.2549999999999999</v>
      </c>
      <c r="K52" s="129">
        <v>360</v>
      </c>
      <c r="L52" s="128">
        <v>2.6859999999999999</v>
      </c>
      <c r="M52" s="130" t="s">
        <v>389</v>
      </c>
      <c r="N52" s="133">
        <v>0</v>
      </c>
      <c r="O52" s="130" t="s">
        <v>389</v>
      </c>
      <c r="P52" s="133">
        <v>0</v>
      </c>
      <c r="Q52" s="133" t="s">
        <v>421</v>
      </c>
      <c r="R52" s="135">
        <v>3.2</v>
      </c>
      <c r="S52" s="135">
        <v>1</v>
      </c>
      <c r="T52" s="135">
        <v>1.5</v>
      </c>
      <c r="U52" s="135">
        <v>0.25</v>
      </c>
      <c r="V52" s="135">
        <v>9.56</v>
      </c>
      <c r="W52" s="135">
        <v>11.35</v>
      </c>
      <c r="X52" s="135">
        <v>45</v>
      </c>
      <c r="Y52" s="135" t="s">
        <v>702</v>
      </c>
      <c r="Z52" s="137">
        <v>36.299999999999997</v>
      </c>
    </row>
    <row r="53" spans="1:26" ht="12.75" customHeight="1" x14ac:dyDescent="0.2">
      <c r="A53" s="126" t="s">
        <v>505</v>
      </c>
      <c r="B53" s="126" t="s">
        <v>681</v>
      </c>
      <c r="C53" s="127">
        <v>6.71</v>
      </c>
      <c r="D53" s="128">
        <v>2.653</v>
      </c>
      <c r="E53" s="128">
        <v>0.90969999999999995</v>
      </c>
      <c r="F53" s="128">
        <v>0.45490000000000003</v>
      </c>
      <c r="G53" s="130" t="s">
        <v>421</v>
      </c>
      <c r="H53" s="130" t="s">
        <v>122</v>
      </c>
      <c r="I53" s="128">
        <v>0.84850000000000003</v>
      </c>
      <c r="J53" s="128">
        <v>2.8365</v>
      </c>
      <c r="K53" s="129">
        <v>360</v>
      </c>
      <c r="L53" s="128">
        <v>0.62660000000000005</v>
      </c>
      <c r="M53" s="130" t="s">
        <v>389</v>
      </c>
      <c r="N53" s="133">
        <v>0</v>
      </c>
      <c r="O53" s="130" t="s">
        <v>395</v>
      </c>
      <c r="P53" s="133">
        <v>0.5</v>
      </c>
      <c r="Q53" s="133" t="s">
        <v>421</v>
      </c>
      <c r="R53" s="135">
        <v>3.5</v>
      </c>
      <c r="S53" s="135">
        <v>1.1000000000000001</v>
      </c>
      <c r="T53" s="135">
        <v>1.5</v>
      </c>
      <c r="U53" s="135">
        <v>0.4</v>
      </c>
      <c r="V53" s="135">
        <v>9.6</v>
      </c>
      <c r="W53" s="135">
        <v>11.3</v>
      </c>
      <c r="X53" s="135">
        <v>45</v>
      </c>
      <c r="Y53" s="135" t="s">
        <v>701</v>
      </c>
      <c r="Z53" s="137">
        <v>36.700000000000003</v>
      </c>
    </row>
    <row r="54" spans="1:26" ht="12.75" customHeight="1" x14ac:dyDescent="0.2">
      <c r="A54" s="151" t="s">
        <v>747</v>
      </c>
      <c r="B54" s="151" t="s">
        <v>674</v>
      </c>
      <c r="C54" s="152">
        <v>6.2</v>
      </c>
      <c r="D54" s="153">
        <v>3</v>
      </c>
      <c r="E54" s="153">
        <v>1.2</v>
      </c>
      <c r="F54" s="153">
        <v>0.6</v>
      </c>
      <c r="G54" s="153" t="s">
        <v>421</v>
      </c>
      <c r="H54" s="153" t="s">
        <v>122</v>
      </c>
      <c r="I54" s="153">
        <v>0.80349999999999999</v>
      </c>
      <c r="J54" s="153">
        <v>3.0912999999999999</v>
      </c>
      <c r="K54" s="154">
        <v>430</v>
      </c>
      <c r="L54" s="153">
        <v>1.07</v>
      </c>
      <c r="M54" s="153" t="s">
        <v>395</v>
      </c>
      <c r="N54" s="156">
        <v>0.2</v>
      </c>
      <c r="O54" s="153" t="s">
        <v>395</v>
      </c>
      <c r="P54" s="156">
        <v>0.5</v>
      </c>
      <c r="Q54" s="133" t="s">
        <v>421</v>
      </c>
      <c r="R54" s="135">
        <v>3.2</v>
      </c>
      <c r="S54" s="135">
        <v>1</v>
      </c>
      <c r="T54" s="135">
        <v>1.5</v>
      </c>
      <c r="U54" s="135">
        <v>0.5</v>
      </c>
      <c r="V54" s="135">
        <v>9.5</v>
      </c>
      <c r="W54" s="135">
        <v>11.3</v>
      </c>
      <c r="X54" s="135">
        <v>45</v>
      </c>
      <c r="Y54" s="135" t="s">
        <v>701</v>
      </c>
      <c r="Z54" s="156">
        <v>37.200000000000003</v>
      </c>
    </row>
    <row r="55" spans="1:26" ht="12.75" customHeight="1" x14ac:dyDescent="0.2">
      <c r="A55" s="126" t="s">
        <v>502</v>
      </c>
      <c r="B55" s="126" t="s">
        <v>578</v>
      </c>
      <c r="C55" s="127">
        <v>7.04</v>
      </c>
      <c r="D55" s="128">
        <v>2.0775999999999999</v>
      </c>
      <c r="E55" s="128">
        <v>0.91149999999999998</v>
      </c>
      <c r="F55" s="128">
        <v>0.33400000000000002</v>
      </c>
      <c r="G55" s="128" t="s">
        <v>421</v>
      </c>
      <c r="H55" s="128" t="s">
        <v>122</v>
      </c>
      <c r="I55" s="128">
        <v>1.1187</v>
      </c>
      <c r="J55" s="128">
        <v>2.9077000000000002</v>
      </c>
      <c r="K55" s="129">
        <v>380</v>
      </c>
      <c r="L55" s="128">
        <v>0.92200000000000004</v>
      </c>
      <c r="M55" s="130" t="s">
        <v>389</v>
      </c>
      <c r="N55" s="133">
        <v>0</v>
      </c>
      <c r="O55" s="130" t="s">
        <v>389</v>
      </c>
      <c r="P55" s="133">
        <v>0</v>
      </c>
      <c r="Q55" s="133" t="s">
        <v>421</v>
      </c>
      <c r="R55" s="135">
        <v>3.2</v>
      </c>
      <c r="S55" s="135">
        <v>1</v>
      </c>
      <c r="T55" s="135">
        <v>1.18</v>
      </c>
      <c r="U55" s="164">
        <v>0.38</v>
      </c>
      <c r="V55" s="135">
        <v>9</v>
      </c>
      <c r="W55" s="135">
        <v>10.72</v>
      </c>
      <c r="X55" s="164">
        <v>35</v>
      </c>
      <c r="Y55" s="135" t="s">
        <v>701</v>
      </c>
      <c r="Z55" s="137">
        <v>37.299999999999997</v>
      </c>
    </row>
    <row r="56" spans="1:26" ht="12.75" customHeight="1" x14ac:dyDescent="0.2">
      <c r="A56" s="134" t="s">
        <v>760</v>
      </c>
      <c r="B56" s="134" t="s">
        <v>593</v>
      </c>
      <c r="C56" s="135">
        <v>10.92</v>
      </c>
      <c r="D56" s="130">
        <v>0.69099999999999995</v>
      </c>
      <c r="E56" s="130">
        <v>0.6603</v>
      </c>
      <c r="F56" s="130">
        <v>0</v>
      </c>
      <c r="G56" s="130" t="s">
        <v>389</v>
      </c>
      <c r="H56" s="130" t="s">
        <v>123</v>
      </c>
      <c r="I56" s="130">
        <v>1.1214999999999999</v>
      </c>
      <c r="J56" s="130">
        <v>1.2094</v>
      </c>
      <c r="K56" s="136">
        <v>250</v>
      </c>
      <c r="L56" s="130">
        <v>0.09</v>
      </c>
      <c r="M56" s="130" t="s">
        <v>389</v>
      </c>
      <c r="N56" s="133">
        <v>0</v>
      </c>
      <c r="O56" s="130" t="s">
        <v>389</v>
      </c>
      <c r="P56" s="133">
        <v>0</v>
      </c>
      <c r="Q56" s="133" t="s">
        <v>421</v>
      </c>
      <c r="R56" s="164">
        <v>2.29</v>
      </c>
      <c r="S56" s="164">
        <v>0.64</v>
      </c>
      <c r="T56" s="135">
        <v>1.52</v>
      </c>
      <c r="U56" s="135">
        <v>0.41</v>
      </c>
      <c r="V56" s="164">
        <v>11.1</v>
      </c>
      <c r="W56" s="135">
        <v>13.06</v>
      </c>
      <c r="X56" s="135">
        <v>35</v>
      </c>
      <c r="Y56" s="135" t="s">
        <v>701</v>
      </c>
      <c r="Z56" s="133">
        <v>39.1</v>
      </c>
    </row>
    <row r="57" spans="1:26" ht="12.75" customHeight="1" x14ac:dyDescent="0.2">
      <c r="A57" s="134" t="s">
        <v>359</v>
      </c>
      <c r="B57" s="134" t="s">
        <v>584</v>
      </c>
      <c r="C57" s="135">
        <v>11.48</v>
      </c>
      <c r="D57" s="130">
        <v>0.72509999999999997</v>
      </c>
      <c r="E57" s="130">
        <v>0.73129999999999995</v>
      </c>
      <c r="F57" s="130">
        <v>0</v>
      </c>
      <c r="G57" s="130" t="s">
        <v>389</v>
      </c>
      <c r="H57" s="130" t="s">
        <v>122</v>
      </c>
      <c r="I57" s="130">
        <v>0.7742</v>
      </c>
      <c r="J57" s="130">
        <v>0.85370000000000001</v>
      </c>
      <c r="K57" s="136">
        <v>280</v>
      </c>
      <c r="L57" s="130">
        <v>2E-3</v>
      </c>
      <c r="M57" s="130" t="s">
        <v>389</v>
      </c>
      <c r="N57" s="133">
        <v>0</v>
      </c>
      <c r="O57" s="130" t="s">
        <v>389</v>
      </c>
      <c r="P57" s="133">
        <v>0</v>
      </c>
      <c r="Q57" s="133" t="s">
        <v>421</v>
      </c>
      <c r="R57" s="135">
        <v>4.1100000000000003</v>
      </c>
      <c r="S57" s="135">
        <v>0.89</v>
      </c>
      <c r="T57" s="135">
        <v>1.24</v>
      </c>
      <c r="U57" s="135">
        <v>0.38</v>
      </c>
      <c r="V57" s="135">
        <v>10.16</v>
      </c>
      <c r="W57" s="135">
        <v>12.19</v>
      </c>
      <c r="X57" s="135">
        <v>35</v>
      </c>
      <c r="Y57" s="135" t="s">
        <v>701</v>
      </c>
      <c r="Z57" s="133">
        <v>39.5</v>
      </c>
    </row>
    <row r="58" spans="1:26" ht="12.75" customHeight="1" x14ac:dyDescent="0.2">
      <c r="A58" s="151" t="s">
        <v>746</v>
      </c>
      <c r="B58" s="151" t="s">
        <v>629</v>
      </c>
      <c r="C58" s="152">
        <v>7.21</v>
      </c>
      <c r="D58" s="153">
        <v>2.5</v>
      </c>
      <c r="E58" s="153">
        <v>1</v>
      </c>
      <c r="F58" s="153">
        <v>0.5</v>
      </c>
      <c r="G58" s="153" t="s">
        <v>421</v>
      </c>
      <c r="H58" s="153" t="s">
        <v>122</v>
      </c>
      <c r="I58" s="153">
        <v>0.87129999999999996</v>
      </c>
      <c r="J58" s="153">
        <v>2.4474999999999998</v>
      </c>
      <c r="K58" s="154">
        <v>430</v>
      </c>
      <c r="L58" s="153">
        <v>1.0125</v>
      </c>
      <c r="M58" s="153" t="s">
        <v>395</v>
      </c>
      <c r="N58" s="156">
        <v>0.1</v>
      </c>
      <c r="O58" s="153" t="s">
        <v>395</v>
      </c>
      <c r="P58" s="156">
        <v>0.3</v>
      </c>
      <c r="Q58" s="133" t="s">
        <v>421</v>
      </c>
      <c r="R58" s="135">
        <v>3.2</v>
      </c>
      <c r="S58" s="135">
        <v>1</v>
      </c>
      <c r="T58" s="135">
        <v>1.5</v>
      </c>
      <c r="U58" s="135">
        <v>0.5</v>
      </c>
      <c r="V58" s="135">
        <v>9.5</v>
      </c>
      <c r="W58" s="135">
        <v>11.3</v>
      </c>
      <c r="X58" s="135">
        <v>45</v>
      </c>
      <c r="Y58" s="135" t="s">
        <v>701</v>
      </c>
      <c r="Z58" s="156">
        <v>39.6</v>
      </c>
    </row>
    <row r="59" spans="1:26" ht="12.75" customHeight="1" x14ac:dyDescent="0.2">
      <c r="A59" s="151" t="s">
        <v>745</v>
      </c>
      <c r="B59" s="151" t="s">
        <v>575</v>
      </c>
      <c r="C59" s="152">
        <v>7.04</v>
      </c>
      <c r="D59" s="153">
        <v>2.5</v>
      </c>
      <c r="E59" s="153">
        <v>1</v>
      </c>
      <c r="F59" s="153">
        <v>0.5</v>
      </c>
      <c r="G59" s="153" t="s">
        <v>421</v>
      </c>
      <c r="H59" s="153" t="s">
        <v>122</v>
      </c>
      <c r="I59" s="153">
        <v>0.89049999999999996</v>
      </c>
      <c r="J59" s="153">
        <v>2.6533000000000002</v>
      </c>
      <c r="K59" s="154">
        <v>430</v>
      </c>
      <c r="L59" s="153">
        <v>1.014</v>
      </c>
      <c r="M59" s="153" t="s">
        <v>395</v>
      </c>
      <c r="N59" s="156">
        <v>0.1</v>
      </c>
      <c r="O59" s="153" t="s">
        <v>395</v>
      </c>
      <c r="P59" s="156">
        <v>0.4</v>
      </c>
      <c r="Q59" s="133" t="s">
        <v>421</v>
      </c>
      <c r="R59" s="135">
        <v>3.2</v>
      </c>
      <c r="S59" s="135">
        <v>1</v>
      </c>
      <c r="T59" s="135">
        <v>1.5</v>
      </c>
      <c r="U59" s="135">
        <v>0.5</v>
      </c>
      <c r="V59" s="135">
        <v>9.5</v>
      </c>
      <c r="W59" s="135">
        <v>11.3</v>
      </c>
      <c r="X59" s="135">
        <v>45</v>
      </c>
      <c r="Y59" s="135" t="s">
        <v>701</v>
      </c>
      <c r="Z59" s="156">
        <v>39.799999999999997</v>
      </c>
    </row>
    <row r="60" spans="1:26" ht="12.75" customHeight="1" x14ac:dyDescent="0.2">
      <c r="A60" s="151" t="s">
        <v>744</v>
      </c>
      <c r="B60" s="151" t="s">
        <v>548</v>
      </c>
      <c r="C60" s="152">
        <v>8.1999999999999993</v>
      </c>
      <c r="D60" s="153">
        <v>2</v>
      </c>
      <c r="E60" s="153">
        <v>0.8</v>
      </c>
      <c r="F60" s="153">
        <v>0.4</v>
      </c>
      <c r="G60" s="153" t="s">
        <v>421</v>
      </c>
      <c r="H60" s="153" t="s">
        <v>122</v>
      </c>
      <c r="I60" s="153">
        <v>1.0102</v>
      </c>
      <c r="J60" s="153">
        <v>2.1391</v>
      </c>
      <c r="K60" s="154">
        <v>430</v>
      </c>
      <c r="L60" s="153">
        <v>0.93</v>
      </c>
      <c r="M60" s="153" t="s">
        <v>395</v>
      </c>
      <c r="N60" s="156">
        <v>0.1</v>
      </c>
      <c r="O60" s="153" t="s">
        <v>395</v>
      </c>
      <c r="P60" s="156">
        <v>0.2</v>
      </c>
      <c r="Q60" s="133" t="s">
        <v>421</v>
      </c>
      <c r="R60" s="135">
        <v>3.2</v>
      </c>
      <c r="S60" s="135">
        <v>1</v>
      </c>
      <c r="T60" s="135">
        <v>1.5</v>
      </c>
      <c r="U60" s="135">
        <v>0.5</v>
      </c>
      <c r="V60" s="135">
        <v>9.5</v>
      </c>
      <c r="W60" s="135">
        <v>11.3</v>
      </c>
      <c r="X60" s="135">
        <v>45</v>
      </c>
      <c r="Y60" s="135" t="s">
        <v>701</v>
      </c>
      <c r="Z60" s="156">
        <v>42.3</v>
      </c>
    </row>
    <row r="61" spans="1:26" ht="12.75" customHeight="1" x14ac:dyDescent="0.2">
      <c r="A61" s="134" t="s">
        <v>363</v>
      </c>
      <c r="B61" s="134" t="s">
        <v>594</v>
      </c>
      <c r="C61" s="135">
        <v>11.48</v>
      </c>
      <c r="D61" s="130">
        <v>0.66</v>
      </c>
      <c r="E61" s="130">
        <v>0.5403</v>
      </c>
      <c r="F61" s="130">
        <v>0</v>
      </c>
      <c r="G61" s="130" t="s">
        <v>389</v>
      </c>
      <c r="H61" s="130" t="s">
        <v>123</v>
      </c>
      <c r="I61" s="130">
        <v>1.2857000000000001</v>
      </c>
      <c r="J61" s="130">
        <v>1.3623000000000001</v>
      </c>
      <c r="K61" s="136">
        <v>100</v>
      </c>
      <c r="L61" s="130">
        <v>5.1999999999999998E-2</v>
      </c>
      <c r="M61" s="130" t="s">
        <v>389</v>
      </c>
      <c r="N61" s="133">
        <v>0</v>
      </c>
      <c r="O61" s="130" t="s">
        <v>389</v>
      </c>
      <c r="P61" s="133">
        <v>0</v>
      </c>
      <c r="Q61" s="133" t="s">
        <v>421</v>
      </c>
      <c r="R61" s="164">
        <v>2.29</v>
      </c>
      <c r="S61" s="164">
        <v>0.64</v>
      </c>
      <c r="T61" s="135">
        <v>1.52</v>
      </c>
      <c r="U61" s="135">
        <v>0.41</v>
      </c>
      <c r="V61" s="164">
        <v>11.68</v>
      </c>
      <c r="W61" s="135">
        <v>13</v>
      </c>
      <c r="X61" s="135">
        <v>35</v>
      </c>
      <c r="Y61" s="135" t="s">
        <v>701</v>
      </c>
      <c r="Z61" s="133">
        <v>43.4</v>
      </c>
    </row>
    <row r="62" spans="1:26" ht="12.75" customHeight="1" x14ac:dyDescent="0.2">
      <c r="A62" s="151" t="s">
        <v>808</v>
      </c>
      <c r="B62" s="151" t="s">
        <v>809</v>
      </c>
      <c r="C62" s="152">
        <v>7.85</v>
      </c>
      <c r="D62" s="153">
        <v>1.7585999999999999</v>
      </c>
      <c r="E62" s="153">
        <v>0.83140000000000003</v>
      </c>
      <c r="F62" s="153">
        <v>0.23219999999999999</v>
      </c>
      <c r="G62" s="153" t="s">
        <v>421</v>
      </c>
      <c r="H62" s="153" t="s">
        <v>122</v>
      </c>
      <c r="I62" s="153">
        <v>1.2979000000000001</v>
      </c>
      <c r="J62" s="153">
        <v>2.9432</v>
      </c>
      <c r="K62" s="154">
        <v>360</v>
      </c>
      <c r="L62" s="153">
        <v>1.4227000000000001</v>
      </c>
      <c r="M62" s="153" t="s">
        <v>389</v>
      </c>
      <c r="N62" s="156">
        <v>0</v>
      </c>
      <c r="O62" s="153" t="s">
        <v>389</v>
      </c>
      <c r="P62" s="156">
        <v>0</v>
      </c>
      <c r="Q62" s="133" t="s">
        <v>421</v>
      </c>
      <c r="R62" s="135">
        <v>3.7</v>
      </c>
      <c r="S62" s="135">
        <v>1.08</v>
      </c>
      <c r="T62" s="135">
        <v>1.48</v>
      </c>
      <c r="U62" s="164">
        <v>0.5</v>
      </c>
      <c r="V62" s="135">
        <v>9.66</v>
      </c>
      <c r="W62" s="135">
        <v>11.28</v>
      </c>
      <c r="X62" s="164">
        <v>45</v>
      </c>
      <c r="Y62" s="135" t="s">
        <v>702</v>
      </c>
      <c r="Z62" s="156">
        <v>43.9</v>
      </c>
    </row>
    <row r="63" spans="1:26" ht="12.75" customHeight="1" x14ac:dyDescent="0.2">
      <c r="A63" s="151" t="s">
        <v>805</v>
      </c>
      <c r="B63" s="151" t="s">
        <v>804</v>
      </c>
      <c r="C63" s="152">
        <v>7.24</v>
      </c>
      <c r="D63" s="153">
        <v>2.7808999999999999</v>
      </c>
      <c r="E63" s="153">
        <v>1.0295000000000001</v>
      </c>
      <c r="F63" s="153">
        <v>0.57299999999999995</v>
      </c>
      <c r="G63" s="153" t="s">
        <v>421</v>
      </c>
      <c r="H63" s="153" t="s">
        <v>122</v>
      </c>
      <c r="I63" s="153">
        <v>0.75800000000000001</v>
      </c>
      <c r="J63" s="153">
        <v>2.3399000000000001</v>
      </c>
      <c r="K63" s="154">
        <v>360</v>
      </c>
      <c r="L63" s="153">
        <v>1.3759999999999999</v>
      </c>
      <c r="M63" s="153" t="s">
        <v>389</v>
      </c>
      <c r="N63" s="156">
        <v>0</v>
      </c>
      <c r="O63" s="153" t="s">
        <v>389</v>
      </c>
      <c r="P63" s="156">
        <v>0</v>
      </c>
      <c r="Q63" s="133" t="s">
        <v>421</v>
      </c>
      <c r="R63" s="135">
        <v>4.05</v>
      </c>
      <c r="S63" s="135">
        <v>1.6</v>
      </c>
      <c r="T63" s="135">
        <v>1.1000000000000001</v>
      </c>
      <c r="U63" s="164">
        <v>0.35</v>
      </c>
      <c r="V63" s="135">
        <v>10.24</v>
      </c>
      <c r="W63" s="135">
        <v>11.93</v>
      </c>
      <c r="X63" s="164">
        <v>45</v>
      </c>
      <c r="Y63" s="135" t="s">
        <v>701</v>
      </c>
      <c r="Z63" s="156">
        <v>44.2</v>
      </c>
    </row>
    <row r="64" spans="1:26" ht="12.75" customHeight="1" x14ac:dyDescent="0.2">
      <c r="A64" s="134" t="s">
        <v>364</v>
      </c>
      <c r="B64" s="134" t="s">
        <v>596</v>
      </c>
      <c r="C64" s="135">
        <v>11.48</v>
      </c>
      <c r="D64" s="130">
        <v>0.73960000000000004</v>
      </c>
      <c r="E64" s="130">
        <v>0.52129999999999999</v>
      </c>
      <c r="F64" s="130">
        <v>0</v>
      </c>
      <c r="G64" s="130" t="s">
        <v>389</v>
      </c>
      <c r="H64" s="130" t="s">
        <v>123</v>
      </c>
      <c r="I64" s="130">
        <v>1.2398</v>
      </c>
      <c r="J64" s="130">
        <v>1.4006000000000001</v>
      </c>
      <c r="K64" s="136">
        <v>410</v>
      </c>
      <c r="L64" s="130">
        <v>2E-3</v>
      </c>
      <c r="M64" s="130" t="s">
        <v>389</v>
      </c>
      <c r="N64" s="133">
        <v>0</v>
      </c>
      <c r="O64" s="130" t="s">
        <v>389</v>
      </c>
      <c r="P64" s="133">
        <v>0</v>
      </c>
      <c r="Q64" s="133" t="s">
        <v>421</v>
      </c>
      <c r="R64" s="164">
        <v>2.29</v>
      </c>
      <c r="S64" s="164">
        <v>0.64</v>
      </c>
      <c r="T64" s="135">
        <v>1.45</v>
      </c>
      <c r="U64" s="135">
        <v>0.41</v>
      </c>
      <c r="V64" s="164">
        <v>11.68</v>
      </c>
      <c r="W64" s="135">
        <v>13</v>
      </c>
      <c r="X64" s="135">
        <v>35</v>
      </c>
      <c r="Y64" s="135" t="s">
        <v>701</v>
      </c>
      <c r="Z64" s="133">
        <v>45.8</v>
      </c>
    </row>
    <row r="65" spans="1:26" ht="12.75" customHeight="1" x14ac:dyDescent="0.2">
      <c r="A65" s="126" t="s">
        <v>785</v>
      </c>
      <c r="B65" s="126" t="s">
        <v>786</v>
      </c>
      <c r="C65" s="127">
        <v>5.7</v>
      </c>
      <c r="D65" s="128">
        <v>1.8080000000000001</v>
      </c>
      <c r="E65" s="128">
        <v>1.1040000000000001</v>
      </c>
      <c r="F65" s="128">
        <v>0.54720000000000002</v>
      </c>
      <c r="G65" s="128" t="s">
        <v>421</v>
      </c>
      <c r="H65" s="128" t="s">
        <v>122</v>
      </c>
      <c r="I65" s="128">
        <v>1.5845</v>
      </c>
      <c r="J65" s="128">
        <v>6.7975000000000003</v>
      </c>
      <c r="K65" s="129">
        <v>450</v>
      </c>
      <c r="L65" s="128">
        <v>2.2909999999999999</v>
      </c>
      <c r="M65" s="130" t="s">
        <v>389</v>
      </c>
      <c r="N65" s="133">
        <v>0</v>
      </c>
      <c r="O65" s="130" t="s">
        <v>389</v>
      </c>
      <c r="P65" s="133">
        <v>0</v>
      </c>
      <c r="Q65" s="133" t="s">
        <v>421</v>
      </c>
      <c r="R65" s="135">
        <v>3.22</v>
      </c>
      <c r="S65" s="135">
        <v>0.84</v>
      </c>
      <c r="T65" s="135">
        <v>1.24</v>
      </c>
      <c r="U65" s="135">
        <v>0.38</v>
      </c>
      <c r="V65" s="135">
        <v>10.39</v>
      </c>
      <c r="W65" s="135">
        <v>12.01</v>
      </c>
      <c r="X65" s="135">
        <v>35</v>
      </c>
      <c r="Y65" s="135" t="s">
        <v>701</v>
      </c>
      <c r="Z65" s="137">
        <v>45.9</v>
      </c>
    </row>
    <row r="66" spans="1:26" ht="12.75" customHeight="1" x14ac:dyDescent="0.2">
      <c r="A66" s="126" t="s">
        <v>817</v>
      </c>
      <c r="B66" s="126" t="s">
        <v>818</v>
      </c>
      <c r="C66" s="127">
        <v>6.71</v>
      </c>
      <c r="D66" s="128">
        <v>2.5842999999999998</v>
      </c>
      <c r="E66" s="128">
        <v>0.99</v>
      </c>
      <c r="F66" s="128">
        <v>0.72270000000000001</v>
      </c>
      <c r="G66" s="128" t="s">
        <v>421</v>
      </c>
      <c r="H66" s="128" t="s">
        <v>122</v>
      </c>
      <c r="I66" s="128">
        <v>0.99890000000000001</v>
      </c>
      <c r="J66" s="128">
        <v>3.3083</v>
      </c>
      <c r="K66" s="129">
        <v>430</v>
      </c>
      <c r="L66" s="128">
        <v>0.75700000000000001</v>
      </c>
      <c r="M66" s="130" t="s">
        <v>389</v>
      </c>
      <c r="N66" s="133">
        <v>0</v>
      </c>
      <c r="O66" s="130" t="s">
        <v>389</v>
      </c>
      <c r="P66" s="133">
        <v>0</v>
      </c>
      <c r="Q66" s="133" t="s">
        <v>421</v>
      </c>
      <c r="R66" s="135">
        <v>3.5</v>
      </c>
      <c r="S66" s="135">
        <v>1.1000000000000001</v>
      </c>
      <c r="T66" s="135">
        <v>1.52</v>
      </c>
      <c r="U66" s="135">
        <v>0.4</v>
      </c>
      <c r="V66" s="135">
        <v>9.6</v>
      </c>
      <c r="W66" s="135">
        <v>11.3</v>
      </c>
      <c r="X66" s="135">
        <v>45</v>
      </c>
      <c r="Y66" s="135" t="s">
        <v>701</v>
      </c>
      <c r="Z66" s="137">
        <v>46.5</v>
      </c>
    </row>
    <row r="67" spans="1:26" ht="12.75" customHeight="1" x14ac:dyDescent="0.2">
      <c r="A67" s="151" t="s">
        <v>806</v>
      </c>
      <c r="B67" s="151" t="s">
        <v>807</v>
      </c>
      <c r="C67" s="152">
        <v>7.21</v>
      </c>
      <c r="D67" s="153">
        <v>2.6985999999999999</v>
      </c>
      <c r="E67" s="153">
        <v>0.77869999999999995</v>
      </c>
      <c r="F67" s="153">
        <v>0.50880000000000003</v>
      </c>
      <c r="G67" s="153" t="s">
        <v>421</v>
      </c>
      <c r="H67" s="153" t="s">
        <v>122</v>
      </c>
      <c r="I67" s="153">
        <v>1.1714</v>
      </c>
      <c r="J67" s="153">
        <v>3.0266999999999999</v>
      </c>
      <c r="K67" s="154">
        <v>360</v>
      </c>
      <c r="L67" s="153">
        <v>2.57</v>
      </c>
      <c r="M67" s="153" t="s">
        <v>389</v>
      </c>
      <c r="N67" s="156">
        <v>0</v>
      </c>
      <c r="O67" s="153" t="s">
        <v>389</v>
      </c>
      <c r="P67" s="156">
        <v>0</v>
      </c>
      <c r="Q67" s="133" t="s">
        <v>421</v>
      </c>
      <c r="R67" s="135">
        <v>3.75</v>
      </c>
      <c r="S67" s="135">
        <v>1.7</v>
      </c>
      <c r="T67" s="135">
        <v>1.24</v>
      </c>
      <c r="U67" s="164">
        <v>0.38</v>
      </c>
      <c r="V67" s="135">
        <v>9.65</v>
      </c>
      <c r="W67" s="135">
        <v>11.43</v>
      </c>
      <c r="X67" s="164">
        <v>35</v>
      </c>
      <c r="Y67" s="135" t="s">
        <v>701</v>
      </c>
      <c r="Z67" s="156">
        <v>46.6</v>
      </c>
    </row>
    <row r="68" spans="1:26" ht="12.75" customHeight="1" x14ac:dyDescent="0.2">
      <c r="A68" s="134" t="s">
        <v>772</v>
      </c>
      <c r="B68" s="134" t="s">
        <v>774</v>
      </c>
      <c r="C68" s="135">
        <v>12.07</v>
      </c>
      <c r="D68" s="130">
        <v>0.69089999999999996</v>
      </c>
      <c r="E68" s="130">
        <v>1.0185</v>
      </c>
      <c r="F68" s="130">
        <v>0</v>
      </c>
      <c r="G68" s="130" t="s">
        <v>389</v>
      </c>
      <c r="H68" s="130" t="s">
        <v>123</v>
      </c>
      <c r="I68" s="130">
        <v>0.57850000000000001</v>
      </c>
      <c r="J68" s="130">
        <v>0.61619999999999997</v>
      </c>
      <c r="K68" s="136">
        <v>330</v>
      </c>
      <c r="L68" s="130">
        <v>0.02</v>
      </c>
      <c r="M68" s="130" t="s">
        <v>389</v>
      </c>
      <c r="N68" s="133">
        <v>0</v>
      </c>
      <c r="O68" s="130" t="s">
        <v>389</v>
      </c>
      <c r="P68" s="133">
        <v>0</v>
      </c>
      <c r="Q68" s="133" t="s">
        <v>421</v>
      </c>
      <c r="R68" s="135">
        <v>2.29</v>
      </c>
      <c r="S68" s="135">
        <v>0.38</v>
      </c>
      <c r="T68" s="135">
        <v>1.78</v>
      </c>
      <c r="U68" s="135">
        <v>0.38</v>
      </c>
      <c r="V68" s="135">
        <v>12.45</v>
      </c>
      <c r="W68" s="135">
        <v>13.77</v>
      </c>
      <c r="X68" s="135">
        <v>45</v>
      </c>
      <c r="Y68" s="135" t="s">
        <v>701</v>
      </c>
      <c r="Z68" s="133">
        <v>47.6</v>
      </c>
    </row>
    <row r="69" spans="1:26" ht="12.75" customHeight="1" x14ac:dyDescent="0.25">
      <c r="A69" t="s">
        <v>743</v>
      </c>
      <c r="B69" s="151" t="s">
        <v>685</v>
      </c>
      <c r="C69" s="152">
        <v>7.04</v>
      </c>
      <c r="D69" s="153">
        <v>3</v>
      </c>
      <c r="E69" s="153">
        <v>1.2</v>
      </c>
      <c r="F69" s="153">
        <v>0.6</v>
      </c>
      <c r="G69" s="153" t="s">
        <v>421</v>
      </c>
      <c r="H69" s="153" t="s">
        <v>122</v>
      </c>
      <c r="I69" s="153">
        <v>0.91049999999999998</v>
      </c>
      <c r="J69" s="153">
        <v>2.9152999999999998</v>
      </c>
      <c r="K69" s="154">
        <v>420</v>
      </c>
      <c r="L69" s="153">
        <v>0.68879999999999997</v>
      </c>
      <c r="M69" s="153" t="s">
        <v>395</v>
      </c>
      <c r="N69" s="156">
        <v>0.2</v>
      </c>
      <c r="O69" s="153" t="s">
        <v>395</v>
      </c>
      <c r="P69" s="156">
        <v>0.4</v>
      </c>
      <c r="Q69" s="133" t="s">
        <v>421</v>
      </c>
      <c r="R69" s="135">
        <v>3.85</v>
      </c>
      <c r="S69" s="135">
        <v>1.4</v>
      </c>
      <c r="T69" s="135">
        <v>1.37</v>
      </c>
      <c r="U69" s="135">
        <v>0.38</v>
      </c>
      <c r="V69" s="135">
        <v>10.39</v>
      </c>
      <c r="W69" s="135">
        <v>12.01</v>
      </c>
      <c r="X69" s="135">
        <v>35</v>
      </c>
      <c r="Y69" s="135" t="s">
        <v>701</v>
      </c>
      <c r="Z69" s="155">
        <v>51.3</v>
      </c>
    </row>
    <row r="70" spans="1:26" ht="12.75" customHeight="1" x14ac:dyDescent="0.2">
      <c r="A70" s="134" t="s">
        <v>586</v>
      </c>
      <c r="B70" s="134" t="s">
        <v>585</v>
      </c>
      <c r="C70" s="135">
        <v>12.7</v>
      </c>
      <c r="D70" s="130">
        <v>0.62129999999999996</v>
      </c>
      <c r="E70" s="130">
        <v>0.59650000000000003</v>
      </c>
      <c r="F70" s="130">
        <v>0</v>
      </c>
      <c r="G70" s="130" t="s">
        <v>389</v>
      </c>
      <c r="H70" s="130" t="s">
        <v>122</v>
      </c>
      <c r="I70" s="130">
        <v>1.0799000000000001</v>
      </c>
      <c r="J70" s="130">
        <v>1.1156999999999999</v>
      </c>
      <c r="K70" s="136">
        <v>260</v>
      </c>
      <c r="L70" s="130">
        <v>0.94</v>
      </c>
      <c r="M70" s="130" t="s">
        <v>389</v>
      </c>
      <c r="N70" s="133">
        <v>0</v>
      </c>
      <c r="O70" s="130" t="s">
        <v>389</v>
      </c>
      <c r="P70" s="133">
        <v>0</v>
      </c>
      <c r="Q70" s="133" t="s">
        <v>421</v>
      </c>
      <c r="R70" s="135">
        <v>3.7</v>
      </c>
      <c r="S70" s="135">
        <v>1.02</v>
      </c>
      <c r="T70" s="135">
        <v>1.52</v>
      </c>
      <c r="U70" s="164">
        <v>0.51</v>
      </c>
      <c r="V70" s="135">
        <v>11.55</v>
      </c>
      <c r="W70" s="135">
        <v>13.08</v>
      </c>
      <c r="X70" s="164">
        <v>45</v>
      </c>
      <c r="Y70" s="135" t="s">
        <v>701</v>
      </c>
      <c r="Z70" s="133">
        <v>53.8</v>
      </c>
    </row>
    <row r="71" spans="1:26" ht="12.75" customHeight="1" x14ac:dyDescent="0.25">
      <c r="A71" s="151" t="s">
        <v>742</v>
      </c>
      <c r="B71" s="151" t="s">
        <v>628</v>
      </c>
      <c r="C71" s="152">
        <v>7.21</v>
      </c>
      <c r="D71" s="153">
        <v>3</v>
      </c>
      <c r="E71" s="153">
        <v>1.2</v>
      </c>
      <c r="F71" s="153">
        <v>0.6</v>
      </c>
      <c r="G71" s="153" t="s">
        <v>421</v>
      </c>
      <c r="H71" s="153" t="s">
        <v>122</v>
      </c>
      <c r="I71" s="153">
        <v>0.91849999999999998</v>
      </c>
      <c r="J71" s="153">
        <v>2.9194</v>
      </c>
      <c r="K71" s="154">
        <v>420</v>
      </c>
      <c r="L71" s="153">
        <v>0.96599999999999997</v>
      </c>
      <c r="M71" s="153" t="s">
        <v>395</v>
      </c>
      <c r="N71" s="156">
        <v>0.2</v>
      </c>
      <c r="O71" s="153" t="s">
        <v>395</v>
      </c>
      <c r="P71" s="156">
        <v>0.4</v>
      </c>
      <c r="Q71" s="133" t="s">
        <v>421</v>
      </c>
      <c r="R71" s="135">
        <v>3.2</v>
      </c>
      <c r="S71" s="135">
        <v>1</v>
      </c>
      <c r="T71" s="135">
        <v>1.5</v>
      </c>
      <c r="U71" s="135">
        <v>0.5</v>
      </c>
      <c r="V71" s="135">
        <v>10.5</v>
      </c>
      <c r="W71" s="135">
        <v>12</v>
      </c>
      <c r="X71" s="135">
        <v>45</v>
      </c>
      <c r="Y71" s="135" t="s">
        <v>701</v>
      </c>
      <c r="Z71" s="155">
        <v>55</v>
      </c>
    </row>
    <row r="72" spans="1:26" ht="12.75" customHeight="1" x14ac:dyDescent="0.2">
      <c r="A72" s="126" t="s">
        <v>600</v>
      </c>
      <c r="B72" s="126" t="s">
        <v>682</v>
      </c>
      <c r="C72" s="127">
        <v>6.71</v>
      </c>
      <c r="D72" s="128">
        <v>2.7315</v>
      </c>
      <c r="E72" s="128">
        <v>0.99460000000000004</v>
      </c>
      <c r="F72" s="128">
        <v>0.6895</v>
      </c>
      <c r="G72" s="128" t="s">
        <v>421</v>
      </c>
      <c r="H72" s="128" t="s">
        <v>122</v>
      </c>
      <c r="I72" s="128">
        <v>1.0972</v>
      </c>
      <c r="J72" s="128">
        <v>4.0111999999999997</v>
      </c>
      <c r="K72" s="129">
        <v>420</v>
      </c>
      <c r="L72" s="128">
        <v>0.69379999999999997</v>
      </c>
      <c r="M72" s="130" t="s">
        <v>389</v>
      </c>
      <c r="N72" s="133">
        <v>0</v>
      </c>
      <c r="O72" s="130" t="s">
        <v>389</v>
      </c>
      <c r="P72" s="133">
        <v>0</v>
      </c>
      <c r="Q72" s="133" t="s">
        <v>421</v>
      </c>
      <c r="R72" s="135">
        <v>3.85</v>
      </c>
      <c r="S72" s="135">
        <v>1.4</v>
      </c>
      <c r="T72" s="135">
        <v>1.37</v>
      </c>
      <c r="U72" s="135">
        <v>0.38</v>
      </c>
      <c r="V72" s="135">
        <v>10.39</v>
      </c>
      <c r="W72" s="135">
        <v>12.01</v>
      </c>
      <c r="X72" s="135">
        <v>35</v>
      </c>
      <c r="Y72" s="135" t="s">
        <v>701</v>
      </c>
      <c r="Z72" s="137">
        <v>55.5</v>
      </c>
    </row>
    <row r="73" spans="1:26" ht="12.75" customHeight="1" x14ac:dyDescent="0.2">
      <c r="A73" s="126" t="s">
        <v>783</v>
      </c>
      <c r="B73" s="126" t="s">
        <v>784</v>
      </c>
      <c r="C73" s="127">
        <v>7.92</v>
      </c>
      <c r="D73" s="128">
        <v>2.5674999999999999</v>
      </c>
      <c r="E73" s="128">
        <v>1.0697000000000001</v>
      </c>
      <c r="F73" s="150">
        <v>0.19600000000000001</v>
      </c>
      <c r="G73" s="150" t="s">
        <v>421</v>
      </c>
      <c r="H73" s="150" t="s">
        <v>123</v>
      </c>
      <c r="I73" s="128">
        <v>1.2388999999999999</v>
      </c>
      <c r="J73" s="128">
        <v>2.7553999999999998</v>
      </c>
      <c r="K73" s="129">
        <v>370</v>
      </c>
      <c r="L73" s="128">
        <v>1.9630000000000001</v>
      </c>
      <c r="M73" s="130" t="s">
        <v>389</v>
      </c>
      <c r="N73" s="133">
        <v>0</v>
      </c>
      <c r="O73" s="130" t="s">
        <v>389</v>
      </c>
      <c r="P73" s="133">
        <v>0</v>
      </c>
      <c r="Q73" s="133" t="s">
        <v>421</v>
      </c>
      <c r="R73" s="135">
        <v>1.63</v>
      </c>
      <c r="S73" s="135">
        <v>0</v>
      </c>
      <c r="T73" s="135">
        <v>1.63</v>
      </c>
      <c r="U73" s="135">
        <v>0.38</v>
      </c>
      <c r="V73" s="135">
        <v>11.69</v>
      </c>
      <c r="W73" s="135">
        <v>13.72</v>
      </c>
      <c r="X73" s="135">
        <v>35</v>
      </c>
      <c r="Y73" s="135" t="s">
        <v>701</v>
      </c>
      <c r="Z73" s="137">
        <v>55.5</v>
      </c>
    </row>
    <row r="74" spans="1:26" ht="12.75" customHeight="1" x14ac:dyDescent="0.2">
      <c r="A74" s="126" t="s">
        <v>598</v>
      </c>
      <c r="B74" s="126" t="s">
        <v>599</v>
      </c>
      <c r="C74" s="127">
        <v>6.17</v>
      </c>
      <c r="D74" s="128">
        <v>2.5672000000000001</v>
      </c>
      <c r="E74" s="128">
        <v>1.0047999999999999</v>
      </c>
      <c r="F74" s="128">
        <v>0.86780000000000002</v>
      </c>
      <c r="G74" s="128" t="s">
        <v>421</v>
      </c>
      <c r="H74" s="128" t="s">
        <v>122</v>
      </c>
      <c r="I74" s="128">
        <v>1.198</v>
      </c>
      <c r="J74" s="128">
        <v>5.1429</v>
      </c>
      <c r="K74" s="129">
        <v>420</v>
      </c>
      <c r="L74" s="128">
        <v>0.68300000000000005</v>
      </c>
      <c r="M74" s="130" t="s">
        <v>389</v>
      </c>
      <c r="N74" s="133">
        <v>0</v>
      </c>
      <c r="O74" s="130" t="s">
        <v>389</v>
      </c>
      <c r="P74" s="133">
        <v>0</v>
      </c>
      <c r="Q74" s="133" t="s">
        <v>421</v>
      </c>
      <c r="R74" s="135">
        <v>3.85</v>
      </c>
      <c r="S74" s="135">
        <v>1.4</v>
      </c>
      <c r="T74" s="135">
        <v>1.37</v>
      </c>
      <c r="U74" s="135">
        <v>0.38</v>
      </c>
      <c r="V74" s="135">
        <v>10.39</v>
      </c>
      <c r="W74" s="135">
        <v>12.01</v>
      </c>
      <c r="X74" s="135">
        <v>35</v>
      </c>
      <c r="Y74" s="135" t="s">
        <v>701</v>
      </c>
      <c r="Z74" s="137">
        <v>55.6</v>
      </c>
    </row>
    <row r="75" spans="1:26" ht="12.75" customHeight="1" x14ac:dyDescent="0.25">
      <c r="A75" s="151" t="s">
        <v>741</v>
      </c>
      <c r="B75" s="151" t="s">
        <v>574</v>
      </c>
      <c r="C75" s="152">
        <v>7.04</v>
      </c>
      <c r="D75" s="153">
        <v>3</v>
      </c>
      <c r="E75" s="153">
        <v>1.2</v>
      </c>
      <c r="F75" s="153">
        <v>0.6</v>
      </c>
      <c r="G75" s="153" t="s">
        <v>421</v>
      </c>
      <c r="H75" s="153" t="s">
        <v>122</v>
      </c>
      <c r="I75" s="153">
        <v>0.96279999999999999</v>
      </c>
      <c r="J75" s="153">
        <v>3.2075</v>
      </c>
      <c r="K75" s="154">
        <v>420</v>
      </c>
      <c r="L75" s="153">
        <v>0.94399999999999995</v>
      </c>
      <c r="M75" s="153" t="s">
        <v>395</v>
      </c>
      <c r="N75" s="156">
        <v>0.2</v>
      </c>
      <c r="O75" s="153" t="s">
        <v>395</v>
      </c>
      <c r="P75" s="156">
        <v>0.4</v>
      </c>
      <c r="Q75" s="133" t="s">
        <v>421</v>
      </c>
      <c r="R75" s="135">
        <v>3.2</v>
      </c>
      <c r="S75" s="135">
        <v>1</v>
      </c>
      <c r="T75" s="135">
        <v>1.5</v>
      </c>
      <c r="U75" s="135">
        <v>0.5</v>
      </c>
      <c r="V75" s="135">
        <v>10.5</v>
      </c>
      <c r="W75" s="135">
        <v>12</v>
      </c>
      <c r="X75" s="135">
        <v>45</v>
      </c>
      <c r="Y75" s="135" t="s">
        <v>701</v>
      </c>
      <c r="Z75" s="155">
        <v>55.6</v>
      </c>
    </row>
    <row r="76" spans="1:26" ht="12.75" customHeight="1" x14ac:dyDescent="0.2">
      <c r="A76" s="126" t="s">
        <v>602</v>
      </c>
      <c r="B76" s="126" t="s">
        <v>601</v>
      </c>
      <c r="C76" s="127">
        <v>7.21</v>
      </c>
      <c r="D76" s="128">
        <v>2.4901</v>
      </c>
      <c r="E76" s="128">
        <v>1.0496000000000001</v>
      </c>
      <c r="F76" s="128">
        <v>0.55579999999999996</v>
      </c>
      <c r="G76" s="128" t="s">
        <v>421</v>
      </c>
      <c r="H76" s="128" t="s">
        <v>122</v>
      </c>
      <c r="I76" s="128">
        <v>1.0972999999999999</v>
      </c>
      <c r="J76" s="128">
        <v>3.4207000000000001</v>
      </c>
      <c r="K76" s="129">
        <v>420</v>
      </c>
      <c r="L76" s="128">
        <v>0.68879999999999997</v>
      </c>
      <c r="M76" s="130" t="s">
        <v>389</v>
      </c>
      <c r="N76" s="133">
        <v>0</v>
      </c>
      <c r="O76" s="130" t="s">
        <v>389</v>
      </c>
      <c r="P76" s="133">
        <v>0</v>
      </c>
      <c r="Q76" s="133" t="s">
        <v>421</v>
      </c>
      <c r="R76" s="135">
        <v>3.85</v>
      </c>
      <c r="S76" s="135">
        <v>1.4</v>
      </c>
      <c r="T76" s="135">
        <v>1.37</v>
      </c>
      <c r="U76" s="135">
        <v>0.38</v>
      </c>
      <c r="V76" s="135">
        <v>10.39</v>
      </c>
      <c r="W76" s="135">
        <v>12.01</v>
      </c>
      <c r="X76" s="135">
        <v>35</v>
      </c>
      <c r="Y76" s="135" t="s">
        <v>701</v>
      </c>
      <c r="Z76" s="137">
        <v>56.2</v>
      </c>
    </row>
    <row r="77" spans="1:26" ht="12.75" customHeight="1" x14ac:dyDescent="0.2">
      <c r="A77" s="126" t="s">
        <v>381</v>
      </c>
      <c r="B77" s="126" t="s">
        <v>382</v>
      </c>
      <c r="C77" s="127">
        <v>7.82</v>
      </c>
      <c r="D77" s="128">
        <v>2.3759000000000001</v>
      </c>
      <c r="E77" s="128">
        <v>0.99450000000000005</v>
      </c>
      <c r="F77" s="128">
        <v>0.36570000000000003</v>
      </c>
      <c r="G77" s="128" t="s">
        <v>421</v>
      </c>
      <c r="H77" s="128" t="s">
        <v>122</v>
      </c>
      <c r="I77" s="128">
        <v>1.0971</v>
      </c>
      <c r="J77" s="128">
        <v>2.8921000000000001</v>
      </c>
      <c r="K77" s="129">
        <v>420</v>
      </c>
      <c r="L77" s="128">
        <v>0.68879999999999997</v>
      </c>
      <c r="M77" s="130" t="s">
        <v>389</v>
      </c>
      <c r="N77" s="133">
        <v>0</v>
      </c>
      <c r="O77" s="130" t="s">
        <v>389</v>
      </c>
      <c r="P77" s="133">
        <v>0</v>
      </c>
      <c r="Q77" s="133" t="s">
        <v>421</v>
      </c>
      <c r="R77" s="135">
        <v>3.85</v>
      </c>
      <c r="S77" s="135">
        <v>1.4</v>
      </c>
      <c r="T77" s="135">
        <v>1.37</v>
      </c>
      <c r="U77" s="135">
        <v>0.38</v>
      </c>
      <c r="V77" s="135">
        <v>10.39</v>
      </c>
      <c r="W77" s="135">
        <v>12.01</v>
      </c>
      <c r="X77" s="135">
        <v>35</v>
      </c>
      <c r="Y77" s="135" t="s">
        <v>701</v>
      </c>
      <c r="Z77" s="137">
        <v>56.5</v>
      </c>
    </row>
    <row r="78" spans="1:26" ht="12.75" customHeight="1" x14ac:dyDescent="0.2">
      <c r="A78" s="126" t="s">
        <v>550</v>
      </c>
      <c r="B78" s="126" t="s">
        <v>382</v>
      </c>
      <c r="C78" s="127">
        <v>7.82</v>
      </c>
      <c r="D78" s="128">
        <v>2.4767999999999999</v>
      </c>
      <c r="E78" s="128">
        <v>0.99450000000000005</v>
      </c>
      <c r="F78" s="128">
        <v>0.36570000000000003</v>
      </c>
      <c r="G78" s="128" t="s">
        <v>421</v>
      </c>
      <c r="H78" s="128" t="s">
        <v>122</v>
      </c>
      <c r="I78" s="128">
        <v>1.0710999999999999</v>
      </c>
      <c r="J78" s="128">
        <v>2.8477999999999999</v>
      </c>
      <c r="K78" s="129">
        <v>420</v>
      </c>
      <c r="L78" s="128">
        <v>0.68879999999999997</v>
      </c>
      <c r="M78" s="130" t="s">
        <v>389</v>
      </c>
      <c r="N78" s="133">
        <v>0</v>
      </c>
      <c r="O78" s="130" t="s">
        <v>389</v>
      </c>
      <c r="P78" s="133">
        <v>0</v>
      </c>
      <c r="Q78" s="133" t="s">
        <v>421</v>
      </c>
      <c r="R78" s="135">
        <v>3.85</v>
      </c>
      <c r="S78" s="135">
        <v>1.4</v>
      </c>
      <c r="T78" s="135">
        <v>1.37</v>
      </c>
      <c r="U78" s="135">
        <v>0.38</v>
      </c>
      <c r="V78" s="135">
        <v>10.39</v>
      </c>
      <c r="W78" s="135">
        <v>12.01</v>
      </c>
      <c r="X78" s="135">
        <v>35</v>
      </c>
      <c r="Y78" s="135" t="s">
        <v>701</v>
      </c>
      <c r="Z78" s="137">
        <v>56.5</v>
      </c>
    </row>
    <row r="79" spans="1:26" ht="12.75" customHeight="1" x14ac:dyDescent="0.25">
      <c r="A79" s="151" t="s">
        <v>740</v>
      </c>
      <c r="B79" s="151" t="s">
        <v>382</v>
      </c>
      <c r="C79" s="152">
        <v>7.82</v>
      </c>
      <c r="D79" s="153">
        <v>2.6230000000000002</v>
      </c>
      <c r="E79" s="153">
        <v>0.99450000000000005</v>
      </c>
      <c r="F79" s="153">
        <v>0.36570000000000003</v>
      </c>
      <c r="G79" s="153" t="s">
        <v>421</v>
      </c>
      <c r="H79" s="153" t="s">
        <v>122</v>
      </c>
      <c r="I79" s="153">
        <v>1.0348999999999999</v>
      </c>
      <c r="J79" s="153">
        <v>2.7675000000000001</v>
      </c>
      <c r="K79" s="154">
        <v>420</v>
      </c>
      <c r="L79" s="153">
        <v>0.68879999999999997</v>
      </c>
      <c r="M79" s="153" t="s">
        <v>389</v>
      </c>
      <c r="N79" s="156">
        <v>0</v>
      </c>
      <c r="O79" s="153" t="s">
        <v>389</v>
      </c>
      <c r="P79" s="156">
        <v>0</v>
      </c>
      <c r="Q79" s="133" t="s">
        <v>421</v>
      </c>
      <c r="R79" s="135">
        <v>3.85</v>
      </c>
      <c r="S79" s="135">
        <v>1.4</v>
      </c>
      <c r="T79" s="135">
        <v>1.37</v>
      </c>
      <c r="U79" s="135">
        <v>0.38</v>
      </c>
      <c r="V79" s="135">
        <v>10.39</v>
      </c>
      <c r="W79" s="135">
        <v>12.01</v>
      </c>
      <c r="X79" s="135">
        <v>35</v>
      </c>
      <c r="Y79" s="135" t="s">
        <v>701</v>
      </c>
      <c r="Z79" s="158">
        <v>56.5</v>
      </c>
    </row>
    <row r="80" spans="1:26" ht="12.75" customHeight="1" x14ac:dyDescent="0.2">
      <c r="A80" s="126" t="s">
        <v>605</v>
      </c>
      <c r="B80" s="126" t="s">
        <v>606</v>
      </c>
      <c r="C80" s="127">
        <v>8.59</v>
      </c>
      <c r="D80" s="128">
        <v>2.2082999999999999</v>
      </c>
      <c r="E80" s="128">
        <v>1.0141</v>
      </c>
      <c r="F80" s="128">
        <v>0.22470000000000001</v>
      </c>
      <c r="G80" s="128" t="s">
        <v>421</v>
      </c>
      <c r="H80" s="128" t="s">
        <v>122</v>
      </c>
      <c r="I80" s="128">
        <v>1.0797000000000001</v>
      </c>
      <c r="J80" s="128">
        <v>2.3582000000000001</v>
      </c>
      <c r="K80" s="129">
        <v>420</v>
      </c>
      <c r="L80" s="128">
        <v>0.68879999999999997</v>
      </c>
      <c r="M80" s="130" t="s">
        <v>389</v>
      </c>
      <c r="N80" s="133">
        <v>0</v>
      </c>
      <c r="O80" s="130" t="s">
        <v>389</v>
      </c>
      <c r="P80" s="133">
        <v>0</v>
      </c>
      <c r="Q80" s="133" t="s">
        <v>421</v>
      </c>
      <c r="R80" s="135">
        <v>3.85</v>
      </c>
      <c r="S80" s="135">
        <v>1.4</v>
      </c>
      <c r="T80" s="135">
        <v>1.37</v>
      </c>
      <c r="U80" s="135">
        <v>0.38</v>
      </c>
      <c r="V80" s="135">
        <v>10.39</v>
      </c>
      <c r="W80" s="135">
        <v>12.01</v>
      </c>
      <c r="X80" s="135">
        <v>35</v>
      </c>
      <c r="Y80" s="135" t="s">
        <v>701</v>
      </c>
      <c r="Z80" s="137">
        <v>57.8</v>
      </c>
    </row>
    <row r="81" spans="1:26" ht="12.75" customHeight="1" x14ac:dyDescent="0.2">
      <c r="A81" s="126" t="s">
        <v>790</v>
      </c>
      <c r="B81" s="126" t="s">
        <v>789</v>
      </c>
      <c r="C81" s="127">
        <v>7.94</v>
      </c>
      <c r="D81" s="128">
        <v>2.6537999999999999</v>
      </c>
      <c r="E81" s="128">
        <v>0.81489999999999996</v>
      </c>
      <c r="F81" s="128">
        <v>0.20169999999999999</v>
      </c>
      <c r="G81" s="128" t="s">
        <v>421</v>
      </c>
      <c r="H81" s="128" t="s">
        <v>122</v>
      </c>
      <c r="I81" s="128">
        <v>1.2585999999999999</v>
      </c>
      <c r="J81" s="128">
        <v>3.1808000000000001</v>
      </c>
      <c r="K81" s="129">
        <v>390</v>
      </c>
      <c r="L81" s="128">
        <v>1.5362</v>
      </c>
      <c r="M81" s="130" t="s">
        <v>389</v>
      </c>
      <c r="N81" s="133">
        <v>0</v>
      </c>
      <c r="O81" s="130" t="s">
        <v>389</v>
      </c>
      <c r="P81" s="133">
        <v>0</v>
      </c>
      <c r="Q81" s="133" t="s">
        <v>421</v>
      </c>
      <c r="R81" s="135">
        <v>3.2</v>
      </c>
      <c r="S81" s="135">
        <v>1.1000000000000001</v>
      </c>
      <c r="T81" s="135">
        <v>1</v>
      </c>
      <c r="U81" s="135">
        <v>0.3</v>
      </c>
      <c r="V81" s="135">
        <v>10.4</v>
      </c>
      <c r="W81" s="135">
        <v>12.05</v>
      </c>
      <c r="X81" s="135">
        <v>45</v>
      </c>
      <c r="Y81" s="135" t="s">
        <v>701</v>
      </c>
      <c r="Z81" s="137">
        <v>58</v>
      </c>
    </row>
    <row r="82" spans="1:26" ht="12.75" customHeight="1" x14ac:dyDescent="0.2">
      <c r="A82" s="126" t="s">
        <v>511</v>
      </c>
      <c r="B82" s="126" t="s">
        <v>683</v>
      </c>
      <c r="C82" s="127">
        <v>6.71</v>
      </c>
      <c r="D82" s="128">
        <v>3.2780999999999998</v>
      </c>
      <c r="E82" s="128">
        <v>1.4862</v>
      </c>
      <c r="F82" s="128">
        <v>0.38919999999999999</v>
      </c>
      <c r="G82" s="128" t="s">
        <v>421</v>
      </c>
      <c r="H82" s="128" t="s">
        <v>122</v>
      </c>
      <c r="I82" s="128">
        <v>1.0519000000000001</v>
      </c>
      <c r="J82" s="128">
        <v>3.6294</v>
      </c>
      <c r="K82" s="129">
        <v>380</v>
      </c>
      <c r="L82" s="128">
        <v>1.6516</v>
      </c>
      <c r="M82" s="130" t="s">
        <v>395</v>
      </c>
      <c r="N82" s="133">
        <v>0.3</v>
      </c>
      <c r="O82" s="130" t="s">
        <v>389</v>
      </c>
      <c r="P82" s="133">
        <v>0</v>
      </c>
      <c r="Q82" s="133" t="s">
        <v>421</v>
      </c>
      <c r="R82" s="135">
        <v>3.25</v>
      </c>
      <c r="S82" s="135">
        <v>0.9</v>
      </c>
      <c r="T82" s="135">
        <v>1.5</v>
      </c>
      <c r="U82" s="135">
        <v>0.5</v>
      </c>
      <c r="V82" s="135">
        <v>10.5</v>
      </c>
      <c r="W82" s="135">
        <v>12.2</v>
      </c>
      <c r="X82" s="135">
        <v>45</v>
      </c>
      <c r="Y82" s="135" t="s">
        <v>701</v>
      </c>
      <c r="Z82" s="126">
        <v>58.5</v>
      </c>
    </row>
    <row r="83" spans="1:26" ht="12.75" customHeight="1" x14ac:dyDescent="0.25">
      <c r="A83" s="151" t="s">
        <v>753</v>
      </c>
      <c r="B83" s="151" t="s">
        <v>549</v>
      </c>
      <c r="C83" s="152">
        <v>8.1999999999999993</v>
      </c>
      <c r="D83" s="153">
        <v>2.5</v>
      </c>
      <c r="E83" s="153">
        <v>1</v>
      </c>
      <c r="F83" s="153">
        <v>0.5</v>
      </c>
      <c r="G83" s="153" t="s">
        <v>421</v>
      </c>
      <c r="H83" s="153" t="s">
        <v>122</v>
      </c>
      <c r="I83" s="153">
        <v>1.0099</v>
      </c>
      <c r="J83" s="153">
        <v>2.4683999999999999</v>
      </c>
      <c r="K83" s="154">
        <v>420</v>
      </c>
      <c r="L83" s="153">
        <v>0.92100000000000004</v>
      </c>
      <c r="M83" s="153" t="s">
        <v>395</v>
      </c>
      <c r="N83" s="156">
        <v>0.1</v>
      </c>
      <c r="O83" s="153" t="s">
        <v>395</v>
      </c>
      <c r="P83" s="156">
        <v>0.3</v>
      </c>
      <c r="Q83" s="133" t="s">
        <v>421</v>
      </c>
      <c r="R83" s="135">
        <v>3.2</v>
      </c>
      <c r="S83" s="135">
        <v>1</v>
      </c>
      <c r="T83" s="135">
        <v>1.5</v>
      </c>
      <c r="U83" s="135">
        <v>0.5</v>
      </c>
      <c r="V83" s="135">
        <v>10.5</v>
      </c>
      <c r="W83" s="135">
        <v>12</v>
      </c>
      <c r="X83" s="135">
        <v>45</v>
      </c>
      <c r="Y83" s="135" t="s">
        <v>701</v>
      </c>
      <c r="Z83" s="158">
        <v>58.6</v>
      </c>
    </row>
    <row r="84" spans="1:26" ht="12.75" customHeight="1" x14ac:dyDescent="0.2">
      <c r="A84" s="126" t="s">
        <v>607</v>
      </c>
      <c r="B84" s="126" t="s">
        <v>608</v>
      </c>
      <c r="C84" s="127">
        <v>9.09</v>
      </c>
      <c r="D84" s="128">
        <v>1.9681</v>
      </c>
      <c r="E84" s="128">
        <v>1.0273000000000001</v>
      </c>
      <c r="F84" s="95">
        <v>0.14410000000000001</v>
      </c>
      <c r="G84" s="95" t="s">
        <v>421</v>
      </c>
      <c r="H84" s="95" t="s">
        <v>122</v>
      </c>
      <c r="I84" s="128">
        <v>1.1152</v>
      </c>
      <c r="J84" s="128">
        <v>2.1566000000000001</v>
      </c>
      <c r="K84" s="129">
        <v>420</v>
      </c>
      <c r="L84" s="128">
        <v>0.68879999999999997</v>
      </c>
      <c r="M84" s="130" t="s">
        <v>389</v>
      </c>
      <c r="N84" s="133">
        <v>0</v>
      </c>
      <c r="O84" s="130" t="s">
        <v>389</v>
      </c>
      <c r="P84" s="133">
        <v>0</v>
      </c>
      <c r="Q84" s="133" t="s">
        <v>421</v>
      </c>
      <c r="R84" s="135">
        <v>3.85</v>
      </c>
      <c r="S84" s="135">
        <v>1.4</v>
      </c>
      <c r="T84" s="135">
        <v>1.37</v>
      </c>
      <c r="U84" s="135">
        <v>0.38</v>
      </c>
      <c r="V84" s="135">
        <v>10.39</v>
      </c>
      <c r="W84" s="135">
        <v>12.01</v>
      </c>
      <c r="X84" s="135">
        <v>35</v>
      </c>
      <c r="Y84" s="135" t="s">
        <v>701</v>
      </c>
      <c r="Z84" s="137">
        <v>58.7</v>
      </c>
    </row>
    <row r="85" spans="1:26" ht="12.75" customHeight="1" x14ac:dyDescent="0.2">
      <c r="A85" s="126" t="s">
        <v>571</v>
      </c>
      <c r="B85" s="126" t="s">
        <v>621</v>
      </c>
      <c r="C85" s="127">
        <v>7.24</v>
      </c>
      <c r="D85" s="128">
        <v>2.7357</v>
      </c>
      <c r="E85" s="128">
        <v>1.3342000000000001</v>
      </c>
      <c r="F85" s="128">
        <v>0.35449999999999998</v>
      </c>
      <c r="G85" s="128" t="s">
        <v>421</v>
      </c>
      <c r="H85" s="128" t="s">
        <v>122</v>
      </c>
      <c r="I85" s="128">
        <v>1.1351</v>
      </c>
      <c r="J85" s="128">
        <v>3.2564000000000002</v>
      </c>
      <c r="K85" s="129">
        <v>390</v>
      </c>
      <c r="L85" s="128">
        <v>1.5305</v>
      </c>
      <c r="M85" s="130" t="s">
        <v>389</v>
      </c>
      <c r="N85" s="133">
        <v>0</v>
      </c>
      <c r="O85" s="130" t="s">
        <v>389</v>
      </c>
      <c r="P85" s="133">
        <v>0</v>
      </c>
      <c r="Q85" s="133" t="s">
        <v>421</v>
      </c>
      <c r="R85" s="135">
        <v>3.04</v>
      </c>
      <c r="S85" s="135">
        <v>0.84</v>
      </c>
      <c r="T85" s="135">
        <v>1.1499999999999999</v>
      </c>
      <c r="U85" s="135">
        <v>0.3</v>
      </c>
      <c r="V85" s="135">
        <v>10.7</v>
      </c>
      <c r="W85" s="135">
        <v>12.1</v>
      </c>
      <c r="X85" s="135">
        <v>45</v>
      </c>
      <c r="Y85" s="135" t="s">
        <v>701</v>
      </c>
      <c r="Z85" s="137">
        <v>59.1</v>
      </c>
    </row>
    <row r="86" spans="1:26" ht="12.75" customHeight="1" x14ac:dyDescent="0.2">
      <c r="A86" s="134" t="s">
        <v>362</v>
      </c>
      <c r="B86" s="134" t="s">
        <v>597</v>
      </c>
      <c r="C86" s="135">
        <v>11.48</v>
      </c>
      <c r="D86" s="130">
        <v>0.87209999999999999</v>
      </c>
      <c r="E86" s="130">
        <v>0.65820000000000001</v>
      </c>
      <c r="F86" s="130">
        <v>0</v>
      </c>
      <c r="G86" s="130" t="s">
        <v>389</v>
      </c>
      <c r="H86" s="130" t="s">
        <v>123</v>
      </c>
      <c r="I86" s="130">
        <v>1.3501000000000001</v>
      </c>
      <c r="J86" s="130">
        <v>1.6457999999999999</v>
      </c>
      <c r="K86" s="136">
        <v>410</v>
      </c>
      <c r="L86" s="130">
        <v>5.9999999999999995E-4</v>
      </c>
      <c r="M86" s="130" t="s">
        <v>389</v>
      </c>
      <c r="N86" s="133">
        <v>0</v>
      </c>
      <c r="O86" s="130" t="s">
        <v>389</v>
      </c>
      <c r="P86" s="133">
        <v>0</v>
      </c>
      <c r="Q86" s="133" t="s">
        <v>421</v>
      </c>
      <c r="R86" s="164">
        <v>2.29</v>
      </c>
      <c r="S86" s="164">
        <v>0.64</v>
      </c>
      <c r="T86" s="135">
        <v>1.5</v>
      </c>
      <c r="U86" s="135">
        <v>0.41</v>
      </c>
      <c r="V86" s="164">
        <v>11.68</v>
      </c>
      <c r="W86" s="135">
        <v>13.21</v>
      </c>
      <c r="X86" s="135">
        <v>35</v>
      </c>
      <c r="Y86" s="135" t="s">
        <v>701</v>
      </c>
      <c r="Z86" s="133">
        <v>60.4</v>
      </c>
    </row>
    <row r="87" spans="1:26" ht="12.75" customHeight="1" x14ac:dyDescent="0.2">
      <c r="A87" s="126" t="s">
        <v>387</v>
      </c>
      <c r="B87" s="126" t="s">
        <v>591</v>
      </c>
      <c r="C87" s="127">
        <v>7.92</v>
      </c>
      <c r="D87" s="128">
        <v>2.7965</v>
      </c>
      <c r="E87" s="128">
        <v>1.1966000000000001</v>
      </c>
      <c r="F87" s="150">
        <v>0.4541</v>
      </c>
      <c r="G87" s="150" t="s">
        <v>421</v>
      </c>
      <c r="H87" s="150" t="s">
        <v>123</v>
      </c>
      <c r="I87" s="128">
        <v>0.92549999999999999</v>
      </c>
      <c r="J87" s="128">
        <v>2.5041000000000002</v>
      </c>
      <c r="K87" s="129">
        <v>360</v>
      </c>
      <c r="L87" s="128">
        <v>1.1429</v>
      </c>
      <c r="M87" s="130" t="s">
        <v>389</v>
      </c>
      <c r="N87" s="133">
        <v>0</v>
      </c>
      <c r="O87" s="130" t="s">
        <v>389</v>
      </c>
      <c r="P87" s="133">
        <v>0</v>
      </c>
      <c r="Q87" s="133" t="s">
        <v>421</v>
      </c>
      <c r="R87" s="135">
        <v>1.6</v>
      </c>
      <c r="S87" s="135">
        <v>0</v>
      </c>
      <c r="T87" s="135">
        <v>1.6</v>
      </c>
      <c r="U87" s="135">
        <v>0.6</v>
      </c>
      <c r="V87" s="135">
        <v>12.37</v>
      </c>
      <c r="W87" s="135">
        <v>14.48</v>
      </c>
      <c r="X87" s="135">
        <v>20</v>
      </c>
      <c r="Y87" s="135" t="s">
        <v>702</v>
      </c>
      <c r="Z87" s="137">
        <v>61.3</v>
      </c>
    </row>
    <row r="88" spans="1:26" ht="12.75" customHeight="1" x14ac:dyDescent="0.2">
      <c r="A88" s="126" t="s">
        <v>781</v>
      </c>
      <c r="B88" s="126" t="s">
        <v>510</v>
      </c>
      <c r="C88" s="127">
        <v>8.1999999999999993</v>
      </c>
      <c r="D88" s="128">
        <v>2.8862999999999999</v>
      </c>
      <c r="E88" s="128">
        <v>0.99529999999999996</v>
      </c>
      <c r="F88" s="128">
        <v>0.20669999999999999</v>
      </c>
      <c r="G88" s="128" t="s">
        <v>421</v>
      </c>
      <c r="H88" s="128" t="s">
        <v>122</v>
      </c>
      <c r="I88" s="128">
        <v>1.1493</v>
      </c>
      <c r="J88" s="128">
        <v>2.6894</v>
      </c>
      <c r="K88" s="129">
        <v>390</v>
      </c>
      <c r="L88" s="128">
        <v>1.3188</v>
      </c>
      <c r="M88" s="130" t="s">
        <v>389</v>
      </c>
      <c r="N88" s="133">
        <v>0</v>
      </c>
      <c r="O88" s="130" t="s">
        <v>389</v>
      </c>
      <c r="P88" s="133">
        <v>0</v>
      </c>
      <c r="Q88" s="133" t="s">
        <v>421</v>
      </c>
      <c r="R88" s="135">
        <v>3.19</v>
      </c>
      <c r="S88" s="135">
        <v>0.9</v>
      </c>
      <c r="T88" s="135">
        <v>1.3</v>
      </c>
      <c r="U88" s="135">
        <v>0.3</v>
      </c>
      <c r="V88" s="135">
        <v>10.5</v>
      </c>
      <c r="W88" s="135">
        <v>11.95</v>
      </c>
      <c r="X88" s="135">
        <v>45</v>
      </c>
      <c r="Y88" s="135" t="s">
        <v>701</v>
      </c>
      <c r="Z88" s="137">
        <v>61.8</v>
      </c>
    </row>
    <row r="89" spans="1:26" ht="12.75" customHeight="1" x14ac:dyDescent="0.2">
      <c r="A89" s="126" t="s">
        <v>810</v>
      </c>
      <c r="B89" s="126" t="s">
        <v>510</v>
      </c>
      <c r="C89" s="127">
        <v>8.1999999999999993</v>
      </c>
      <c r="D89" s="128">
        <v>2.7004000000000001</v>
      </c>
      <c r="E89" s="128">
        <v>0.99529999999999996</v>
      </c>
      <c r="F89" s="128">
        <v>0.32229999999999998</v>
      </c>
      <c r="G89" s="128" t="s">
        <v>421</v>
      </c>
      <c r="H89" s="128" t="s">
        <v>122</v>
      </c>
      <c r="I89" s="128">
        <v>1.1674</v>
      </c>
      <c r="J89" s="128">
        <v>2.6695000000000002</v>
      </c>
      <c r="K89" s="129">
        <v>390</v>
      </c>
      <c r="L89" s="128">
        <v>1.3188</v>
      </c>
      <c r="M89" s="130" t="s">
        <v>389</v>
      </c>
      <c r="N89" s="133">
        <v>0</v>
      </c>
      <c r="O89" s="130" t="s">
        <v>395</v>
      </c>
      <c r="P89" s="133">
        <v>0.32890000000000003</v>
      </c>
      <c r="Q89" s="133" t="s">
        <v>421</v>
      </c>
      <c r="R89" s="135">
        <v>3.19</v>
      </c>
      <c r="S89" s="135">
        <v>0.9</v>
      </c>
      <c r="T89" s="135">
        <v>1.3</v>
      </c>
      <c r="U89" s="135">
        <v>0.3</v>
      </c>
      <c r="V89" s="135">
        <v>10.5</v>
      </c>
      <c r="W89" s="135">
        <v>11.95</v>
      </c>
      <c r="X89" s="135">
        <v>45</v>
      </c>
      <c r="Y89" s="135" t="s">
        <v>702</v>
      </c>
      <c r="Z89" s="137">
        <v>61.8</v>
      </c>
    </row>
    <row r="90" spans="1:26" ht="12.75" customHeight="1" x14ac:dyDescent="0.25">
      <c r="A90" s="151" t="s">
        <v>739</v>
      </c>
      <c r="B90" s="151" t="s">
        <v>554</v>
      </c>
      <c r="C90" s="152">
        <v>9.85</v>
      </c>
      <c r="D90" s="153">
        <v>2</v>
      </c>
      <c r="E90" s="153">
        <v>0.8</v>
      </c>
      <c r="F90" s="153">
        <v>0.4</v>
      </c>
      <c r="G90" s="153" t="s">
        <v>421</v>
      </c>
      <c r="H90" s="153" t="s">
        <v>122</v>
      </c>
      <c r="I90" s="153">
        <v>1.0968</v>
      </c>
      <c r="J90" s="153">
        <v>1.7685</v>
      </c>
      <c r="K90" s="154">
        <v>420</v>
      </c>
      <c r="L90" s="153">
        <v>0.86880000000000002</v>
      </c>
      <c r="M90" s="153" t="s">
        <v>395</v>
      </c>
      <c r="N90" s="156">
        <v>0.1</v>
      </c>
      <c r="O90" s="153" t="s">
        <v>395</v>
      </c>
      <c r="P90" s="156">
        <v>0.1</v>
      </c>
      <c r="Q90" s="133" t="s">
        <v>421</v>
      </c>
      <c r="R90" s="135">
        <v>3.2</v>
      </c>
      <c r="S90" s="135">
        <v>1</v>
      </c>
      <c r="T90" s="135">
        <v>1.5</v>
      </c>
      <c r="U90" s="135">
        <v>0.5</v>
      </c>
      <c r="V90" s="135">
        <v>10.5</v>
      </c>
      <c r="W90" s="135">
        <v>12</v>
      </c>
      <c r="X90" s="135">
        <v>45</v>
      </c>
      <c r="Y90" s="135" t="s">
        <v>701</v>
      </c>
      <c r="Z90" s="158">
        <v>62.2</v>
      </c>
    </row>
    <row r="91" spans="1:26" ht="12.75" customHeight="1" x14ac:dyDescent="0.2">
      <c r="A91" s="126" t="s">
        <v>614</v>
      </c>
      <c r="B91" s="126" t="s">
        <v>622</v>
      </c>
      <c r="C91" s="127">
        <v>7.24</v>
      </c>
      <c r="D91" s="128">
        <v>2.5966</v>
      </c>
      <c r="E91" s="128">
        <v>1.2007000000000001</v>
      </c>
      <c r="F91" s="128">
        <v>0.4194</v>
      </c>
      <c r="G91" s="128" t="s">
        <v>421</v>
      </c>
      <c r="H91" s="128" t="s">
        <v>122</v>
      </c>
      <c r="I91" s="128">
        <v>1.429</v>
      </c>
      <c r="J91" s="128">
        <v>3.976</v>
      </c>
      <c r="K91" s="129">
        <v>420</v>
      </c>
      <c r="L91" s="128">
        <v>1.2454000000000001</v>
      </c>
      <c r="M91" s="130" t="s">
        <v>389</v>
      </c>
      <c r="N91" s="133">
        <v>0</v>
      </c>
      <c r="O91" s="130" t="s">
        <v>389</v>
      </c>
      <c r="P91" s="133">
        <v>0</v>
      </c>
      <c r="Q91" s="133" t="s">
        <v>421</v>
      </c>
      <c r="R91" s="135">
        <v>3.19</v>
      </c>
      <c r="S91" s="135">
        <v>0.9</v>
      </c>
      <c r="T91" s="135">
        <v>1.3</v>
      </c>
      <c r="U91" s="135">
        <v>0.3</v>
      </c>
      <c r="V91" s="135">
        <v>10.5</v>
      </c>
      <c r="W91" s="135">
        <v>11.95</v>
      </c>
      <c r="X91" s="135">
        <v>45</v>
      </c>
      <c r="Y91" s="135" t="s">
        <v>701</v>
      </c>
      <c r="Z91" s="137">
        <v>65.900000000000006</v>
      </c>
    </row>
    <row r="92" spans="1:26" ht="12.75" customHeight="1" x14ac:dyDescent="0.25">
      <c r="A92" s="151" t="s">
        <v>787</v>
      </c>
      <c r="B92" s="151" t="s">
        <v>788</v>
      </c>
      <c r="C92" s="152">
        <v>7.78</v>
      </c>
      <c r="D92" s="153">
        <v>2.6747999999999998</v>
      </c>
      <c r="E92" s="153">
        <v>1.1088</v>
      </c>
      <c r="F92" s="153">
        <v>0.19209999999999999</v>
      </c>
      <c r="G92" s="153" t="s">
        <v>421</v>
      </c>
      <c r="H92" s="153" t="s">
        <v>122</v>
      </c>
      <c r="I92" s="153">
        <v>1.1908000000000001</v>
      </c>
      <c r="J92" s="153">
        <v>3.4342000000000001</v>
      </c>
      <c r="K92" s="154">
        <v>380</v>
      </c>
      <c r="L92" s="153">
        <v>1.4071</v>
      </c>
      <c r="M92" s="153" t="s">
        <v>389</v>
      </c>
      <c r="N92" s="156">
        <v>0</v>
      </c>
      <c r="O92" s="153" t="s">
        <v>389</v>
      </c>
      <c r="P92" s="156">
        <v>0</v>
      </c>
      <c r="Q92" s="133" t="s">
        <v>421</v>
      </c>
      <c r="R92" s="135">
        <v>3.46</v>
      </c>
      <c r="S92" s="135">
        <v>0.89</v>
      </c>
      <c r="T92" s="135">
        <v>1.65</v>
      </c>
      <c r="U92" s="135">
        <v>0.5</v>
      </c>
      <c r="V92" s="135">
        <v>10.3</v>
      </c>
      <c r="W92" s="135">
        <v>12.65</v>
      </c>
      <c r="X92" s="135">
        <v>45</v>
      </c>
      <c r="Y92" s="135" t="s">
        <v>701</v>
      </c>
      <c r="Z92" s="158">
        <v>66</v>
      </c>
    </row>
    <row r="93" spans="1:26" ht="12.75" customHeight="1" x14ac:dyDescent="0.2">
      <c r="A93" s="134" t="s">
        <v>361</v>
      </c>
      <c r="B93" s="134" t="s">
        <v>595</v>
      </c>
      <c r="C93" s="135">
        <v>12.7</v>
      </c>
      <c r="D93" s="130">
        <v>0.81469999999999998</v>
      </c>
      <c r="E93" s="130">
        <v>0.82110000000000005</v>
      </c>
      <c r="F93" s="130">
        <v>0</v>
      </c>
      <c r="G93" s="130" t="s">
        <v>389</v>
      </c>
      <c r="H93" s="130" t="s">
        <v>123</v>
      </c>
      <c r="I93" s="130">
        <v>1.0846</v>
      </c>
      <c r="J93" s="130">
        <v>1.2439</v>
      </c>
      <c r="K93" s="136">
        <v>410</v>
      </c>
      <c r="L93" s="130">
        <v>6.9999999999999999E-4</v>
      </c>
      <c r="M93" s="130" t="s">
        <v>395</v>
      </c>
      <c r="N93" s="133">
        <v>0.3</v>
      </c>
      <c r="O93" s="130" t="s">
        <v>389</v>
      </c>
      <c r="P93" s="133">
        <v>0</v>
      </c>
      <c r="Q93" s="133" t="s">
        <v>421</v>
      </c>
      <c r="R93" s="135">
        <v>3.28</v>
      </c>
      <c r="S93" s="135">
        <v>1.1399999999999999</v>
      </c>
      <c r="T93" s="135">
        <v>1.5</v>
      </c>
      <c r="U93" s="135">
        <v>0.25</v>
      </c>
      <c r="V93" s="135">
        <v>12.19</v>
      </c>
      <c r="W93" s="135">
        <v>14.22</v>
      </c>
      <c r="X93" s="135">
        <v>55</v>
      </c>
      <c r="Y93" s="135" t="s">
        <v>701</v>
      </c>
      <c r="Z93" s="133">
        <v>66.2</v>
      </c>
    </row>
    <row r="94" spans="1:26" ht="12.75" customHeight="1" x14ac:dyDescent="0.2">
      <c r="A94" s="126" t="s">
        <v>611</v>
      </c>
      <c r="B94" s="126" t="s">
        <v>683</v>
      </c>
      <c r="C94" s="127">
        <v>6.71</v>
      </c>
      <c r="D94" s="128">
        <v>3.5674000000000001</v>
      </c>
      <c r="E94" s="128">
        <v>1.3244</v>
      </c>
      <c r="F94" s="95">
        <v>0.3357</v>
      </c>
      <c r="G94" s="95" t="s">
        <v>421</v>
      </c>
      <c r="H94" s="95" t="s">
        <v>122</v>
      </c>
      <c r="I94" s="128">
        <v>1.0812999999999999</v>
      </c>
      <c r="J94" s="128">
        <v>4.2889999999999997</v>
      </c>
      <c r="K94" s="129">
        <v>440</v>
      </c>
      <c r="L94" s="128">
        <v>0.91549999999999998</v>
      </c>
      <c r="M94" s="130" t="s">
        <v>395</v>
      </c>
      <c r="N94" s="133">
        <v>0.3</v>
      </c>
      <c r="O94" s="130" t="s">
        <v>389</v>
      </c>
      <c r="P94" s="133">
        <v>0</v>
      </c>
      <c r="Q94" s="133" t="s">
        <v>421</v>
      </c>
      <c r="R94" s="135">
        <v>3.78</v>
      </c>
      <c r="S94" s="135">
        <v>1.02</v>
      </c>
      <c r="T94" s="135">
        <v>1.37</v>
      </c>
      <c r="U94" s="135">
        <v>0.38</v>
      </c>
      <c r="V94" s="135">
        <v>10.39</v>
      </c>
      <c r="W94" s="135">
        <v>12.01</v>
      </c>
      <c r="X94" s="135">
        <v>35</v>
      </c>
      <c r="Y94" s="135" t="s">
        <v>701</v>
      </c>
      <c r="Z94" s="137">
        <v>66.2</v>
      </c>
    </row>
    <row r="95" spans="1:26" ht="12.75" customHeight="1" x14ac:dyDescent="0.2">
      <c r="A95" s="126" t="s">
        <v>617</v>
      </c>
      <c r="B95" s="126" t="s">
        <v>618</v>
      </c>
      <c r="C95" s="127">
        <v>6.52</v>
      </c>
      <c r="D95" s="128">
        <v>2.7799</v>
      </c>
      <c r="E95" s="128">
        <v>1.2110000000000001</v>
      </c>
      <c r="F95" s="128">
        <v>0.79659999999999997</v>
      </c>
      <c r="G95" s="128" t="s">
        <v>421</v>
      </c>
      <c r="H95" s="128" t="s">
        <v>122</v>
      </c>
      <c r="I95" s="128">
        <v>1.3434999999999999</v>
      </c>
      <c r="J95" s="128">
        <v>4.8391000000000002</v>
      </c>
      <c r="K95" s="129">
        <v>430</v>
      </c>
      <c r="L95" s="128">
        <v>0.93989999999999996</v>
      </c>
      <c r="M95" s="130" t="s">
        <v>389</v>
      </c>
      <c r="N95" s="133">
        <v>0</v>
      </c>
      <c r="O95" s="130" t="s">
        <v>389</v>
      </c>
      <c r="P95" s="133">
        <v>0</v>
      </c>
      <c r="Q95" s="133" t="s">
        <v>421</v>
      </c>
      <c r="R95" s="135">
        <v>3.16</v>
      </c>
      <c r="S95" s="135">
        <v>0.84</v>
      </c>
      <c r="T95" s="135">
        <v>1.24</v>
      </c>
      <c r="U95" s="135">
        <v>0.38</v>
      </c>
      <c r="V95" s="135">
        <v>10.39</v>
      </c>
      <c r="W95" s="135">
        <v>12.01</v>
      </c>
      <c r="X95" s="135">
        <v>35</v>
      </c>
      <c r="Y95" s="135" t="s">
        <v>701</v>
      </c>
      <c r="Z95" s="137">
        <v>66.400000000000006</v>
      </c>
    </row>
    <row r="96" spans="1:26" ht="12.75" customHeight="1" x14ac:dyDescent="0.2">
      <c r="A96" s="126" t="s">
        <v>609</v>
      </c>
      <c r="B96" s="126" t="s">
        <v>610</v>
      </c>
      <c r="C96" s="127">
        <v>7.21</v>
      </c>
      <c r="D96" s="128">
        <v>2.0444</v>
      </c>
      <c r="E96" s="128">
        <v>1.0266999999999999</v>
      </c>
      <c r="F96" s="95">
        <v>0.26889999999999997</v>
      </c>
      <c r="G96" s="95" t="s">
        <v>421</v>
      </c>
      <c r="H96" s="95" t="s">
        <v>122</v>
      </c>
      <c r="I96" s="128">
        <v>1.5306999999999999</v>
      </c>
      <c r="J96" s="128">
        <v>5.1384999999999996</v>
      </c>
      <c r="K96" s="129">
        <v>440</v>
      </c>
      <c r="L96" s="128">
        <v>0.91549999999999998</v>
      </c>
      <c r="M96" s="130" t="s">
        <v>389</v>
      </c>
      <c r="N96" s="133">
        <v>0</v>
      </c>
      <c r="O96" s="130" t="s">
        <v>389</v>
      </c>
      <c r="P96" s="133">
        <v>0</v>
      </c>
      <c r="Q96" s="133" t="s">
        <v>421</v>
      </c>
      <c r="R96" s="135">
        <v>3.78</v>
      </c>
      <c r="S96" s="135">
        <v>1.02</v>
      </c>
      <c r="T96" s="135">
        <v>1.37</v>
      </c>
      <c r="U96" s="135">
        <v>0.38</v>
      </c>
      <c r="V96" s="135">
        <v>10.39</v>
      </c>
      <c r="W96" s="135">
        <v>12.01</v>
      </c>
      <c r="X96" s="135">
        <v>35</v>
      </c>
      <c r="Y96" s="135" t="s">
        <v>701</v>
      </c>
      <c r="Z96" s="137">
        <v>66.7</v>
      </c>
    </row>
    <row r="97" spans="1:26" ht="12.75" customHeight="1" x14ac:dyDescent="0.2">
      <c r="A97" s="126" t="s">
        <v>612</v>
      </c>
      <c r="B97" s="126" t="s">
        <v>613</v>
      </c>
      <c r="C97" s="127">
        <v>7.04</v>
      </c>
      <c r="D97" s="128">
        <v>2.7210000000000001</v>
      </c>
      <c r="E97" s="128">
        <v>1.3909</v>
      </c>
      <c r="F97" s="128">
        <v>0.63200000000000001</v>
      </c>
      <c r="G97" s="128" t="s">
        <v>421</v>
      </c>
      <c r="H97" s="128" t="s">
        <v>122</v>
      </c>
      <c r="I97" s="128">
        <v>1.2565</v>
      </c>
      <c r="J97" s="128">
        <v>3.7625999999999999</v>
      </c>
      <c r="K97" s="129">
        <v>450</v>
      </c>
      <c r="L97" s="128">
        <v>0.93989999999999996</v>
      </c>
      <c r="M97" s="130" t="s">
        <v>389</v>
      </c>
      <c r="N97" s="133">
        <v>0</v>
      </c>
      <c r="O97" s="130" t="s">
        <v>389</v>
      </c>
      <c r="P97" s="133">
        <v>0</v>
      </c>
      <c r="Q97" s="133" t="s">
        <v>421</v>
      </c>
      <c r="R97" s="135">
        <v>3.16</v>
      </c>
      <c r="S97" s="135">
        <v>0.84</v>
      </c>
      <c r="T97" s="135">
        <v>1.24</v>
      </c>
      <c r="U97" s="135">
        <v>0.38</v>
      </c>
      <c r="V97" s="135">
        <v>10.39</v>
      </c>
      <c r="W97" s="135">
        <v>12.01</v>
      </c>
      <c r="X97" s="135">
        <v>35</v>
      </c>
      <c r="Y97" s="135" t="s">
        <v>701</v>
      </c>
      <c r="Z97" s="137">
        <v>67.099999999999994</v>
      </c>
    </row>
    <row r="98" spans="1:26" ht="12.75" customHeight="1" x14ac:dyDescent="0.2">
      <c r="A98" s="151" t="s">
        <v>738</v>
      </c>
      <c r="B98" s="151" t="s">
        <v>576</v>
      </c>
      <c r="C98" s="152">
        <v>7.04</v>
      </c>
      <c r="D98" s="153">
        <v>3.5</v>
      </c>
      <c r="E98" s="153">
        <v>1.4</v>
      </c>
      <c r="F98" s="153">
        <v>0.7</v>
      </c>
      <c r="G98" s="153" t="s">
        <v>421</v>
      </c>
      <c r="H98" s="153" t="s">
        <v>122</v>
      </c>
      <c r="I98" s="153">
        <v>1.0310999999999999</v>
      </c>
      <c r="J98" s="153">
        <v>3.4468000000000001</v>
      </c>
      <c r="K98" s="154">
        <v>420</v>
      </c>
      <c r="L98" s="153">
        <v>1.028</v>
      </c>
      <c r="M98" s="153" t="s">
        <v>395</v>
      </c>
      <c r="N98" s="156">
        <v>0.2</v>
      </c>
      <c r="O98" s="153" t="s">
        <v>395</v>
      </c>
      <c r="P98" s="156">
        <v>0.4</v>
      </c>
      <c r="Q98" s="133" t="s">
        <v>421</v>
      </c>
      <c r="R98" s="135">
        <v>3.2</v>
      </c>
      <c r="S98" s="135">
        <v>1</v>
      </c>
      <c r="T98" s="135">
        <v>1.5</v>
      </c>
      <c r="U98" s="135">
        <v>0.5</v>
      </c>
      <c r="V98" s="135">
        <v>10.5</v>
      </c>
      <c r="W98" s="135">
        <v>12</v>
      </c>
      <c r="X98" s="135">
        <v>45</v>
      </c>
      <c r="Y98" s="135" t="s">
        <v>701</v>
      </c>
      <c r="Z98" s="156">
        <v>68.2</v>
      </c>
    </row>
    <row r="99" spans="1:26" ht="12.75" customHeight="1" x14ac:dyDescent="0.2">
      <c r="A99" s="126" t="s">
        <v>383</v>
      </c>
      <c r="B99" s="126" t="s">
        <v>384</v>
      </c>
      <c r="C99" s="127">
        <v>7.82</v>
      </c>
      <c r="D99" s="128">
        <v>2.5790999999999999</v>
      </c>
      <c r="E99" s="128">
        <v>1.2594000000000001</v>
      </c>
      <c r="F99" s="128">
        <v>0.39279999999999998</v>
      </c>
      <c r="G99" s="128" t="s">
        <v>421</v>
      </c>
      <c r="H99" s="128" t="s">
        <v>122</v>
      </c>
      <c r="I99" s="128">
        <v>1.2572000000000001</v>
      </c>
      <c r="J99" s="128">
        <v>3.1072000000000002</v>
      </c>
      <c r="K99" s="129">
        <v>420</v>
      </c>
      <c r="L99" s="128">
        <v>0.93989999999999996</v>
      </c>
      <c r="M99" s="130" t="s">
        <v>389</v>
      </c>
      <c r="N99" s="133">
        <v>0</v>
      </c>
      <c r="O99" s="130" t="s">
        <v>389</v>
      </c>
      <c r="P99" s="133">
        <v>0</v>
      </c>
      <c r="Q99" s="133" t="s">
        <v>421</v>
      </c>
      <c r="R99" s="135">
        <v>3.16</v>
      </c>
      <c r="S99" s="135">
        <v>0.84</v>
      </c>
      <c r="T99" s="135">
        <v>1.24</v>
      </c>
      <c r="U99" s="135">
        <v>0.38</v>
      </c>
      <c r="V99" s="135">
        <v>10.39</v>
      </c>
      <c r="W99" s="135">
        <v>12.01</v>
      </c>
      <c r="X99" s="135">
        <v>35</v>
      </c>
      <c r="Y99" s="135" t="s">
        <v>701</v>
      </c>
      <c r="Z99" s="137">
        <v>68.599999999999994</v>
      </c>
    </row>
    <row r="100" spans="1:26" ht="12.75" customHeight="1" x14ac:dyDescent="0.25">
      <c r="A100" s="151" t="s">
        <v>737</v>
      </c>
      <c r="B100" s="151" t="s">
        <v>396</v>
      </c>
      <c r="C100" s="152">
        <v>7.82</v>
      </c>
      <c r="D100" s="153">
        <v>3</v>
      </c>
      <c r="E100" s="153">
        <v>1.2</v>
      </c>
      <c r="F100" s="153">
        <v>0.6</v>
      </c>
      <c r="G100" s="153" t="s">
        <v>421</v>
      </c>
      <c r="H100" s="153" t="s">
        <v>122</v>
      </c>
      <c r="I100" s="153">
        <v>1.1214999999999999</v>
      </c>
      <c r="J100" s="153">
        <v>3.0213999999999999</v>
      </c>
      <c r="K100" s="154">
        <v>420</v>
      </c>
      <c r="L100" s="153">
        <v>0.98660000000000003</v>
      </c>
      <c r="M100" s="153" t="s">
        <v>395</v>
      </c>
      <c r="N100" s="156">
        <v>0.2</v>
      </c>
      <c r="O100" s="153" t="s">
        <v>395</v>
      </c>
      <c r="P100" s="156">
        <v>0.3</v>
      </c>
      <c r="Q100" s="133" t="s">
        <v>421</v>
      </c>
      <c r="R100" s="135">
        <v>3.2</v>
      </c>
      <c r="S100" s="135">
        <v>1</v>
      </c>
      <c r="T100" s="135">
        <v>1.5</v>
      </c>
      <c r="U100" s="135">
        <v>0.5</v>
      </c>
      <c r="V100" s="135">
        <v>10.5</v>
      </c>
      <c r="W100" s="135">
        <v>12</v>
      </c>
      <c r="X100" s="135">
        <v>45</v>
      </c>
      <c r="Y100" s="135" t="s">
        <v>701</v>
      </c>
      <c r="Z100" s="155">
        <v>71.099999999999994</v>
      </c>
    </row>
    <row r="101" spans="1:26" ht="12.75" customHeight="1" x14ac:dyDescent="0.2">
      <c r="A101" s="126" t="s">
        <v>615</v>
      </c>
      <c r="B101" s="126" t="s">
        <v>616</v>
      </c>
      <c r="C101" s="127">
        <v>9.09</v>
      </c>
      <c r="D101" s="128">
        <v>2.1863999999999999</v>
      </c>
      <c r="E101" s="128">
        <v>1.08</v>
      </c>
      <c r="F101" s="128">
        <v>0.3221</v>
      </c>
      <c r="G101" s="128" t="s">
        <v>421</v>
      </c>
      <c r="H101" s="128" t="s">
        <v>122</v>
      </c>
      <c r="I101" s="128">
        <v>1.2586999999999999</v>
      </c>
      <c r="J101" s="128">
        <v>2.3060999999999998</v>
      </c>
      <c r="K101" s="129">
        <v>420</v>
      </c>
      <c r="L101" s="128">
        <v>0.93989999999999996</v>
      </c>
      <c r="M101" s="130" t="s">
        <v>389</v>
      </c>
      <c r="N101" s="133">
        <v>0</v>
      </c>
      <c r="O101" s="130" t="s">
        <v>389</v>
      </c>
      <c r="P101" s="133">
        <v>0</v>
      </c>
      <c r="Q101" s="133" t="s">
        <v>421</v>
      </c>
      <c r="R101" s="135">
        <v>3.16</v>
      </c>
      <c r="S101" s="135">
        <v>0.84</v>
      </c>
      <c r="T101" s="135">
        <v>1.24</v>
      </c>
      <c r="U101" s="135">
        <v>0.38</v>
      </c>
      <c r="V101" s="135">
        <v>10.39</v>
      </c>
      <c r="W101" s="135">
        <v>12.01</v>
      </c>
      <c r="X101" s="135">
        <v>35</v>
      </c>
      <c r="Y101" s="135" t="s">
        <v>701</v>
      </c>
      <c r="Z101" s="137">
        <v>71.8</v>
      </c>
    </row>
    <row r="102" spans="1:26" ht="12.75" customHeight="1" x14ac:dyDescent="0.2">
      <c r="A102" s="126" t="s">
        <v>569</v>
      </c>
      <c r="B102" s="126" t="s">
        <v>570</v>
      </c>
      <c r="C102" s="127">
        <v>9.3000000000000007</v>
      </c>
      <c r="D102" s="128">
        <v>2.1440000000000001</v>
      </c>
      <c r="E102" s="128">
        <v>0.84099999999999997</v>
      </c>
      <c r="F102" s="150">
        <v>0.13919999999999999</v>
      </c>
      <c r="G102" s="150" t="s">
        <v>421</v>
      </c>
      <c r="H102" s="150" t="s">
        <v>122</v>
      </c>
      <c r="I102" s="128">
        <v>1.4694</v>
      </c>
      <c r="J102" s="128">
        <v>2.7705000000000002</v>
      </c>
      <c r="K102" s="129">
        <v>390</v>
      </c>
      <c r="L102" s="128">
        <v>0.76649999999999996</v>
      </c>
      <c r="M102" s="130" t="s">
        <v>389</v>
      </c>
      <c r="N102" s="133">
        <v>0</v>
      </c>
      <c r="O102" s="130" t="s">
        <v>389</v>
      </c>
      <c r="P102" s="133">
        <v>0</v>
      </c>
      <c r="Q102" s="133" t="s">
        <v>421</v>
      </c>
      <c r="R102" s="135">
        <v>3.19</v>
      </c>
      <c r="S102" s="135">
        <v>0.9</v>
      </c>
      <c r="T102" s="135">
        <v>1.3</v>
      </c>
      <c r="U102" s="135">
        <v>0.3</v>
      </c>
      <c r="V102" s="135">
        <v>10.5</v>
      </c>
      <c r="W102" s="135">
        <v>11.95</v>
      </c>
      <c r="X102" s="135">
        <v>45</v>
      </c>
      <c r="Y102" s="135" t="s">
        <v>701</v>
      </c>
      <c r="Z102" s="137">
        <v>73.7</v>
      </c>
    </row>
    <row r="103" spans="1:26" ht="12.75" customHeight="1" x14ac:dyDescent="0.25">
      <c r="A103" s="151" t="s">
        <v>736</v>
      </c>
      <c r="B103" s="151" t="s">
        <v>627</v>
      </c>
      <c r="C103" s="152">
        <v>9.09</v>
      </c>
      <c r="D103" s="153">
        <v>2.5</v>
      </c>
      <c r="E103" s="153">
        <v>1</v>
      </c>
      <c r="F103" s="153">
        <v>0.5</v>
      </c>
      <c r="G103" s="153" t="s">
        <v>421</v>
      </c>
      <c r="H103" s="153" t="s">
        <v>122</v>
      </c>
      <c r="I103" s="153">
        <v>1.1979</v>
      </c>
      <c r="J103" s="153">
        <v>2.3113000000000001</v>
      </c>
      <c r="K103" s="154">
        <v>420</v>
      </c>
      <c r="L103" s="153">
        <v>0.94179999999999997</v>
      </c>
      <c r="M103" s="153" t="s">
        <v>395</v>
      </c>
      <c r="N103" s="156">
        <v>0.1</v>
      </c>
      <c r="O103" s="153" t="s">
        <v>395</v>
      </c>
      <c r="P103" s="156">
        <v>0.1</v>
      </c>
      <c r="Q103" s="133" t="s">
        <v>421</v>
      </c>
      <c r="R103" s="135">
        <v>3.2</v>
      </c>
      <c r="S103" s="135">
        <v>1</v>
      </c>
      <c r="T103" s="135">
        <v>1.5</v>
      </c>
      <c r="U103" s="135">
        <v>0.5</v>
      </c>
      <c r="V103" s="135">
        <v>10.5</v>
      </c>
      <c r="W103" s="135">
        <v>12</v>
      </c>
      <c r="X103" s="135">
        <v>45</v>
      </c>
      <c r="Y103" s="135" t="s">
        <v>701</v>
      </c>
      <c r="Z103" s="155">
        <v>74.900000000000006</v>
      </c>
    </row>
    <row r="104" spans="1:26" ht="12.75" customHeight="1" x14ac:dyDescent="0.2">
      <c r="A104" s="134" t="s">
        <v>776</v>
      </c>
      <c r="B104" s="134" t="s">
        <v>775</v>
      </c>
      <c r="C104" s="135">
        <v>11.63</v>
      </c>
      <c r="D104" s="130">
        <v>0.81389999999999996</v>
      </c>
      <c r="E104" s="130">
        <v>1.603</v>
      </c>
      <c r="F104" s="130">
        <v>0</v>
      </c>
      <c r="G104" s="130" t="s">
        <v>389</v>
      </c>
      <c r="H104" s="130" t="s">
        <v>123</v>
      </c>
      <c r="I104" s="130">
        <v>0.87280000000000002</v>
      </c>
      <c r="J104" s="130">
        <v>0.96260000000000001</v>
      </c>
      <c r="K104" s="136">
        <v>350</v>
      </c>
      <c r="L104" s="130">
        <v>0.92300000000000004</v>
      </c>
      <c r="M104" s="130" t="s">
        <v>389</v>
      </c>
      <c r="N104" s="133">
        <v>0</v>
      </c>
      <c r="O104" s="130" t="s">
        <v>389</v>
      </c>
      <c r="P104" s="133">
        <v>0</v>
      </c>
      <c r="Q104" s="133" t="s">
        <v>421</v>
      </c>
      <c r="R104" s="164">
        <v>2.29</v>
      </c>
      <c r="S104" s="164">
        <v>0.38</v>
      </c>
      <c r="T104" s="135">
        <v>1.78</v>
      </c>
      <c r="U104" s="164">
        <v>0.38</v>
      </c>
      <c r="V104" s="164">
        <v>12.45</v>
      </c>
      <c r="W104" s="135">
        <v>15.44</v>
      </c>
      <c r="X104" s="164">
        <v>45</v>
      </c>
      <c r="Y104" s="135" t="s">
        <v>701</v>
      </c>
      <c r="Z104" s="133">
        <v>77.599999999999994</v>
      </c>
    </row>
    <row r="105" spans="1:26" ht="12.75" customHeight="1" x14ac:dyDescent="0.2">
      <c r="A105" s="126" t="s">
        <v>561</v>
      </c>
      <c r="B105" s="126" t="s">
        <v>562</v>
      </c>
      <c r="C105" s="127">
        <v>9.3000000000000007</v>
      </c>
      <c r="D105" s="128">
        <v>2.1440000000000001</v>
      </c>
      <c r="E105" s="128">
        <v>0.94379999999999997</v>
      </c>
      <c r="F105" s="150">
        <v>0.21990000000000001</v>
      </c>
      <c r="G105" s="150" t="s">
        <v>421</v>
      </c>
      <c r="H105" s="150" t="s">
        <v>122</v>
      </c>
      <c r="I105" s="128">
        <v>1.4029</v>
      </c>
      <c r="J105" s="128">
        <v>2.8671000000000002</v>
      </c>
      <c r="K105" s="129">
        <v>440</v>
      </c>
      <c r="L105" s="128">
        <v>0.97199999999999998</v>
      </c>
      <c r="M105" s="130" t="s">
        <v>389</v>
      </c>
      <c r="N105" s="133">
        <v>0</v>
      </c>
      <c r="O105" s="130" t="s">
        <v>389</v>
      </c>
      <c r="P105" s="133">
        <v>0</v>
      </c>
      <c r="Q105" s="133" t="s">
        <v>421</v>
      </c>
      <c r="R105" s="135">
        <v>3.2</v>
      </c>
      <c r="S105" s="135">
        <v>1</v>
      </c>
      <c r="T105" s="135">
        <v>1.3</v>
      </c>
      <c r="U105" s="135">
        <v>0.3</v>
      </c>
      <c r="V105" s="135">
        <v>11.2</v>
      </c>
      <c r="W105" s="135">
        <v>12.6</v>
      </c>
      <c r="X105" s="135">
        <v>45</v>
      </c>
      <c r="Y105" s="135" t="s">
        <v>701</v>
      </c>
      <c r="Z105" s="137">
        <v>82.8</v>
      </c>
    </row>
    <row r="106" spans="1:26" ht="12.75" customHeight="1" x14ac:dyDescent="0.2">
      <c r="A106" s="126" t="s">
        <v>623</v>
      </c>
      <c r="B106" s="126" t="s">
        <v>684</v>
      </c>
      <c r="C106" s="127">
        <v>6.71</v>
      </c>
      <c r="D106" s="128">
        <v>2.6661999999999999</v>
      </c>
      <c r="E106" s="128">
        <v>1.0507</v>
      </c>
      <c r="F106" s="150">
        <v>1.1798999999999999</v>
      </c>
      <c r="G106" s="150" t="s">
        <v>421</v>
      </c>
      <c r="H106" s="150" t="s">
        <v>122</v>
      </c>
      <c r="I106" s="128">
        <v>1.3422000000000001</v>
      </c>
      <c r="J106" s="128">
        <v>5.7215999999999996</v>
      </c>
      <c r="K106" s="129">
        <v>440</v>
      </c>
      <c r="L106" s="128">
        <v>1.3299000000000001</v>
      </c>
      <c r="M106" s="130" t="s">
        <v>389</v>
      </c>
      <c r="N106" s="133">
        <v>0</v>
      </c>
      <c r="O106" s="130" t="s">
        <v>389</v>
      </c>
      <c r="P106" s="133">
        <v>0</v>
      </c>
      <c r="Q106" s="133" t="s">
        <v>421</v>
      </c>
      <c r="R106" s="135">
        <v>3.5</v>
      </c>
      <c r="S106" s="135">
        <v>1</v>
      </c>
      <c r="T106" s="135">
        <v>1.4</v>
      </c>
      <c r="U106" s="135">
        <v>0.3</v>
      </c>
      <c r="V106" s="135">
        <v>11.2</v>
      </c>
      <c r="W106" s="135">
        <v>13</v>
      </c>
      <c r="X106" s="135">
        <v>45</v>
      </c>
      <c r="Y106" s="135" t="s">
        <v>701</v>
      </c>
      <c r="Z106" s="137">
        <v>84.9</v>
      </c>
    </row>
    <row r="107" spans="1:26" ht="12.75" customHeight="1" x14ac:dyDescent="0.2">
      <c r="A107" s="126" t="s">
        <v>625</v>
      </c>
      <c r="B107" s="126" t="s">
        <v>624</v>
      </c>
      <c r="C107" s="127">
        <v>8.1999999999999993</v>
      </c>
      <c r="D107" s="128">
        <v>2.2031000000000001</v>
      </c>
      <c r="E107" s="128">
        <v>1.0423</v>
      </c>
      <c r="F107" s="150">
        <v>0.58779999999999999</v>
      </c>
      <c r="G107" s="150" t="s">
        <v>421</v>
      </c>
      <c r="H107" s="150" t="s">
        <v>122</v>
      </c>
      <c r="I107" s="128">
        <v>1.4226000000000001</v>
      </c>
      <c r="J107" s="128">
        <v>3.8576999999999999</v>
      </c>
      <c r="K107" s="129">
        <v>440</v>
      </c>
      <c r="L107" s="128">
        <v>1.3254999999999999</v>
      </c>
      <c r="M107" s="130" t="s">
        <v>389</v>
      </c>
      <c r="N107" s="133">
        <v>0</v>
      </c>
      <c r="O107" s="130" t="s">
        <v>389</v>
      </c>
      <c r="P107" s="133">
        <v>0</v>
      </c>
      <c r="Q107" s="133" t="s">
        <v>421</v>
      </c>
      <c r="R107" s="135">
        <v>3.5</v>
      </c>
      <c r="S107" s="135">
        <v>1</v>
      </c>
      <c r="T107" s="135">
        <v>1.4</v>
      </c>
      <c r="U107" s="135">
        <v>0.3</v>
      </c>
      <c r="V107" s="135">
        <v>11.2</v>
      </c>
      <c r="W107" s="135">
        <v>13</v>
      </c>
      <c r="X107" s="135">
        <v>45</v>
      </c>
      <c r="Y107" s="135" t="s">
        <v>701</v>
      </c>
      <c r="Z107" s="137">
        <v>87.8</v>
      </c>
    </row>
    <row r="108" spans="1:26" ht="12.75" customHeight="1" x14ac:dyDescent="0.2">
      <c r="A108" s="126" t="s">
        <v>498</v>
      </c>
      <c r="B108" s="126" t="s">
        <v>603</v>
      </c>
      <c r="C108" s="127">
        <v>8.59</v>
      </c>
      <c r="D108" s="128">
        <v>2.6625000000000001</v>
      </c>
      <c r="E108" s="128">
        <v>0.97699999999999998</v>
      </c>
      <c r="F108" s="128">
        <v>0.56079999999999997</v>
      </c>
      <c r="G108" s="128" t="s">
        <v>421</v>
      </c>
      <c r="H108" s="128" t="s">
        <v>122</v>
      </c>
      <c r="I108" s="128">
        <v>1.2891999999999999</v>
      </c>
      <c r="J108" s="128">
        <v>4.2236000000000002</v>
      </c>
      <c r="K108" s="129">
        <v>420</v>
      </c>
      <c r="L108" s="128">
        <v>1.206</v>
      </c>
      <c r="M108" s="130" t="s">
        <v>389</v>
      </c>
      <c r="N108" s="133">
        <v>0</v>
      </c>
      <c r="O108" s="130" t="s">
        <v>389</v>
      </c>
      <c r="P108" s="133">
        <v>0</v>
      </c>
      <c r="Q108" s="133" t="s">
        <v>421</v>
      </c>
      <c r="R108" s="135">
        <v>3.12</v>
      </c>
      <c r="S108" s="135">
        <v>0.9</v>
      </c>
      <c r="T108" s="135">
        <v>1.52</v>
      </c>
      <c r="U108" s="135">
        <v>0.5</v>
      </c>
      <c r="V108" s="135">
        <v>13.24</v>
      </c>
      <c r="W108" s="135">
        <v>14.93</v>
      </c>
      <c r="X108" s="135">
        <v>45</v>
      </c>
      <c r="Y108" s="135" t="s">
        <v>701</v>
      </c>
      <c r="Z108" s="137">
        <v>115.2</v>
      </c>
    </row>
    <row r="109" spans="1:26" ht="12.75" customHeight="1" x14ac:dyDescent="0.25">
      <c r="A109" s="151" t="s">
        <v>754</v>
      </c>
      <c r="B109" s="151" t="s">
        <v>560</v>
      </c>
      <c r="C109" s="152">
        <v>7.82</v>
      </c>
      <c r="D109" s="153">
        <v>4</v>
      </c>
      <c r="E109" s="153">
        <v>1.6</v>
      </c>
      <c r="F109" s="153">
        <v>0.8</v>
      </c>
      <c r="G109" s="153" t="s">
        <v>421</v>
      </c>
      <c r="H109" s="153" t="s">
        <v>122</v>
      </c>
      <c r="I109" s="153">
        <v>0.8498</v>
      </c>
      <c r="J109" s="153">
        <v>4.1725000000000003</v>
      </c>
      <c r="K109" s="154">
        <v>420</v>
      </c>
      <c r="L109" s="153">
        <v>1.238</v>
      </c>
      <c r="M109" s="153" t="s">
        <v>395</v>
      </c>
      <c r="N109" s="156">
        <v>0.3</v>
      </c>
      <c r="O109" s="153" t="s">
        <v>395</v>
      </c>
      <c r="P109" s="156">
        <v>0.6</v>
      </c>
      <c r="Q109" s="133" t="s">
        <v>421</v>
      </c>
      <c r="R109" s="135">
        <v>3.4</v>
      </c>
      <c r="S109" s="135">
        <v>1</v>
      </c>
      <c r="T109" s="135">
        <v>1.35</v>
      </c>
      <c r="U109" s="135">
        <v>0.35</v>
      </c>
      <c r="V109" s="135">
        <v>14.1</v>
      </c>
      <c r="W109" s="135">
        <v>16.5</v>
      </c>
      <c r="X109" s="135">
        <v>45</v>
      </c>
      <c r="Y109" s="135" t="s">
        <v>701</v>
      </c>
      <c r="Z109" s="155">
        <v>127.5</v>
      </c>
    </row>
    <row r="110" spans="1:26" ht="12.75" customHeight="1" x14ac:dyDescent="0.25">
      <c r="A110" s="151" t="s">
        <v>734</v>
      </c>
      <c r="B110" s="151" t="s">
        <v>556</v>
      </c>
      <c r="C110" s="152">
        <v>8.59</v>
      </c>
      <c r="D110" s="153">
        <v>3.5</v>
      </c>
      <c r="E110" s="153">
        <v>1.4</v>
      </c>
      <c r="F110" s="153">
        <v>0.7</v>
      </c>
      <c r="G110" s="153" t="s">
        <v>421</v>
      </c>
      <c r="H110" s="153" t="s">
        <v>122</v>
      </c>
      <c r="I110" s="153">
        <v>0.91369999999999996</v>
      </c>
      <c r="J110" s="153">
        <v>3.7145999999999999</v>
      </c>
      <c r="K110" s="154">
        <v>420</v>
      </c>
      <c r="L110" s="153">
        <v>1.1915</v>
      </c>
      <c r="M110" s="153" t="s">
        <v>395</v>
      </c>
      <c r="N110" s="156">
        <v>0.2</v>
      </c>
      <c r="O110" s="153" t="s">
        <v>395</v>
      </c>
      <c r="P110" s="156">
        <v>0.5</v>
      </c>
      <c r="Q110" s="133" t="s">
        <v>421</v>
      </c>
      <c r="R110" s="135">
        <v>3.4</v>
      </c>
      <c r="S110" s="135">
        <v>1</v>
      </c>
      <c r="T110" s="135">
        <v>1.35</v>
      </c>
      <c r="U110" s="135">
        <v>0.35</v>
      </c>
      <c r="V110" s="135">
        <v>14.1</v>
      </c>
      <c r="W110" s="135">
        <v>16.5</v>
      </c>
      <c r="X110" s="135">
        <v>45</v>
      </c>
      <c r="Y110" s="135" t="s">
        <v>701</v>
      </c>
      <c r="Z110" s="155">
        <v>133.30000000000001</v>
      </c>
    </row>
    <row r="111" spans="1:26" ht="12.75" customHeight="1" x14ac:dyDescent="0.25">
      <c r="A111" s="151" t="s">
        <v>735</v>
      </c>
      <c r="B111" s="151" t="s">
        <v>397</v>
      </c>
      <c r="C111" s="152">
        <v>9.85</v>
      </c>
      <c r="D111" s="153">
        <v>3</v>
      </c>
      <c r="E111" s="153">
        <v>1.2</v>
      </c>
      <c r="F111" s="153">
        <v>0.6</v>
      </c>
      <c r="G111" s="153" t="s">
        <v>421</v>
      </c>
      <c r="H111" s="153" t="s">
        <v>122</v>
      </c>
      <c r="I111" s="153">
        <v>0.93589999999999995</v>
      </c>
      <c r="J111" s="153">
        <v>2.8660999999999999</v>
      </c>
      <c r="K111" s="154">
        <v>420</v>
      </c>
      <c r="L111" s="153">
        <v>1.173</v>
      </c>
      <c r="M111" s="153" t="s">
        <v>395</v>
      </c>
      <c r="N111" s="156">
        <v>0.2</v>
      </c>
      <c r="O111" s="153" t="s">
        <v>395</v>
      </c>
      <c r="P111" s="156">
        <v>0.4</v>
      </c>
      <c r="Q111" s="133" t="s">
        <v>421</v>
      </c>
      <c r="R111" s="135">
        <v>3.4</v>
      </c>
      <c r="S111" s="135">
        <v>1</v>
      </c>
      <c r="T111" s="135">
        <v>1.35</v>
      </c>
      <c r="U111" s="135">
        <v>0.35</v>
      </c>
      <c r="V111" s="135">
        <v>14.1</v>
      </c>
      <c r="W111" s="135">
        <v>16.5</v>
      </c>
      <c r="X111" s="135">
        <v>45</v>
      </c>
      <c r="Y111" s="135" t="s">
        <v>701</v>
      </c>
      <c r="Z111" s="155">
        <v>137.5</v>
      </c>
    </row>
    <row r="112" spans="1:26" ht="12.75" customHeight="1" x14ac:dyDescent="0.25">
      <c r="A112" s="151" t="s">
        <v>733</v>
      </c>
      <c r="B112" s="151" t="s">
        <v>559</v>
      </c>
      <c r="C112" s="152">
        <v>12.98</v>
      </c>
      <c r="D112" s="153">
        <v>2</v>
      </c>
      <c r="E112" s="153">
        <v>0.8</v>
      </c>
      <c r="F112" s="153">
        <v>0.4</v>
      </c>
      <c r="G112" s="153" t="s">
        <v>421</v>
      </c>
      <c r="H112" s="153" t="s">
        <v>122</v>
      </c>
      <c r="I112" s="153">
        <v>1.1902999999999999</v>
      </c>
      <c r="J112" s="153">
        <v>1.9862</v>
      </c>
      <c r="K112" s="154">
        <v>420</v>
      </c>
      <c r="L112" s="153">
        <v>1.1299999999999999</v>
      </c>
      <c r="M112" s="153" t="s">
        <v>395</v>
      </c>
      <c r="N112" s="156">
        <v>0.1</v>
      </c>
      <c r="O112" s="153" t="s">
        <v>395</v>
      </c>
      <c r="P112" s="156">
        <v>0.1</v>
      </c>
      <c r="Q112" s="133" t="s">
        <v>421</v>
      </c>
      <c r="R112" s="135">
        <v>3.4</v>
      </c>
      <c r="S112" s="135">
        <v>1</v>
      </c>
      <c r="T112" s="135">
        <v>1.35</v>
      </c>
      <c r="U112" s="135">
        <v>0.35</v>
      </c>
      <c r="V112" s="135">
        <v>14.1</v>
      </c>
      <c r="W112" s="135">
        <v>16.5</v>
      </c>
      <c r="X112" s="135">
        <v>45</v>
      </c>
      <c r="Y112" s="135" t="s">
        <v>701</v>
      </c>
      <c r="Z112" s="155">
        <v>155.69999999999999</v>
      </c>
    </row>
    <row r="113" spans="1:26" ht="12.75" customHeight="1" x14ac:dyDescent="0.25">
      <c r="A113" s="151" t="s">
        <v>755</v>
      </c>
      <c r="B113" s="151" t="s">
        <v>558</v>
      </c>
      <c r="C113" s="152">
        <v>11.63</v>
      </c>
      <c r="D113" s="153">
        <v>3.5</v>
      </c>
      <c r="E113" s="153">
        <v>1.4</v>
      </c>
      <c r="F113" s="153">
        <v>0.7</v>
      </c>
      <c r="G113" s="153" t="s">
        <v>421</v>
      </c>
      <c r="H113" s="153" t="s">
        <v>122</v>
      </c>
      <c r="I113" s="153">
        <v>0.97419999999999995</v>
      </c>
      <c r="J113" s="153">
        <v>3.3389000000000002</v>
      </c>
      <c r="K113" s="154">
        <v>420</v>
      </c>
      <c r="L113" s="153">
        <v>1.18</v>
      </c>
      <c r="M113" s="153" t="s">
        <v>395</v>
      </c>
      <c r="N113" s="156">
        <v>0.2</v>
      </c>
      <c r="O113" s="153" t="s">
        <v>395</v>
      </c>
      <c r="P113" s="156">
        <v>0.4</v>
      </c>
      <c r="Q113" s="133" t="s">
        <v>421</v>
      </c>
      <c r="R113" s="135">
        <v>6.4</v>
      </c>
      <c r="S113" s="135">
        <v>2.2999999999999998</v>
      </c>
      <c r="T113" s="135">
        <v>2.11</v>
      </c>
      <c r="U113" s="135">
        <v>0.7</v>
      </c>
      <c r="V113" s="135">
        <v>17.52</v>
      </c>
      <c r="W113" s="135">
        <v>20.420000000000002</v>
      </c>
      <c r="X113" s="135">
        <v>35</v>
      </c>
      <c r="Y113" s="135" t="s">
        <v>701</v>
      </c>
      <c r="Z113" s="155">
        <v>299.3</v>
      </c>
    </row>
    <row r="114" spans="1:26" ht="12.75" customHeight="1" x14ac:dyDescent="0.2">
      <c r="A114" s="126" t="s">
        <v>379</v>
      </c>
      <c r="B114" s="126" t="s">
        <v>380</v>
      </c>
      <c r="C114" s="127">
        <v>12.98</v>
      </c>
      <c r="D114" s="128">
        <v>2.8519999999999999</v>
      </c>
      <c r="E114" s="128">
        <v>1.2453000000000001</v>
      </c>
      <c r="F114" s="128">
        <v>0.40075</v>
      </c>
      <c r="G114" s="128" t="s">
        <v>421</v>
      </c>
      <c r="H114" s="128" t="s">
        <v>122</v>
      </c>
      <c r="I114" s="128">
        <v>1.0989</v>
      </c>
      <c r="J114" s="128">
        <v>2.8283999999999998</v>
      </c>
      <c r="K114" s="129">
        <v>380</v>
      </c>
      <c r="L114" s="128">
        <v>1.851</v>
      </c>
      <c r="M114" s="130" t="s">
        <v>389</v>
      </c>
      <c r="N114" s="133">
        <v>0</v>
      </c>
      <c r="O114" s="130" t="s">
        <v>389</v>
      </c>
      <c r="P114" s="133">
        <v>0</v>
      </c>
      <c r="Q114" s="133" t="s">
        <v>421</v>
      </c>
      <c r="R114" s="135">
        <v>6.4</v>
      </c>
      <c r="S114" s="135">
        <v>2.2999999999999998</v>
      </c>
      <c r="T114" s="135">
        <v>2.11</v>
      </c>
      <c r="U114" s="135">
        <v>0.7</v>
      </c>
      <c r="V114" s="135">
        <v>17.52</v>
      </c>
      <c r="W114" s="135">
        <v>20.420000000000002</v>
      </c>
      <c r="X114" s="135">
        <v>35</v>
      </c>
      <c r="Y114" s="135" t="s">
        <v>701</v>
      </c>
      <c r="Z114" s="137">
        <v>299.39999999999998</v>
      </c>
    </row>
    <row r="115" spans="1:26" ht="12.75" customHeight="1" x14ac:dyDescent="0.25">
      <c r="A115" s="151" t="s">
        <v>732</v>
      </c>
      <c r="B115" s="151" t="s">
        <v>555</v>
      </c>
      <c r="C115" s="152">
        <v>12.98</v>
      </c>
      <c r="D115" s="153">
        <v>3</v>
      </c>
      <c r="E115" s="153">
        <v>1.2</v>
      </c>
      <c r="F115" s="153">
        <v>0.6</v>
      </c>
      <c r="G115" s="153" t="s">
        <v>421</v>
      </c>
      <c r="H115" s="153" t="s">
        <v>122</v>
      </c>
      <c r="I115" s="153">
        <v>1.0527500000000001</v>
      </c>
      <c r="J115" s="153">
        <v>2.8818000000000001</v>
      </c>
      <c r="K115" s="154">
        <v>420</v>
      </c>
      <c r="L115" s="153">
        <v>1.1254999999999999</v>
      </c>
      <c r="M115" s="153" t="s">
        <v>395</v>
      </c>
      <c r="N115" s="156">
        <v>0.2</v>
      </c>
      <c r="O115" s="153" t="s">
        <v>395</v>
      </c>
      <c r="P115" s="156">
        <v>0.3</v>
      </c>
      <c r="Q115" s="133" t="s">
        <v>421</v>
      </c>
      <c r="R115" s="135">
        <v>6.4</v>
      </c>
      <c r="S115" s="135">
        <v>2.2999999999999998</v>
      </c>
      <c r="T115" s="135">
        <v>2.11</v>
      </c>
      <c r="U115" s="135">
        <v>0.7</v>
      </c>
      <c r="V115" s="135">
        <v>17.52</v>
      </c>
      <c r="W115" s="135">
        <v>20.420000000000002</v>
      </c>
      <c r="X115" s="135">
        <v>35</v>
      </c>
      <c r="Y115" s="135" t="s">
        <v>701</v>
      </c>
      <c r="Z115" s="155">
        <v>312.3</v>
      </c>
    </row>
    <row r="116" spans="1:26" ht="12.75" customHeight="1" x14ac:dyDescent="0.2">
      <c r="A116" s="126" t="s">
        <v>506</v>
      </c>
      <c r="B116" s="126" t="s">
        <v>508</v>
      </c>
      <c r="C116" s="127">
        <v>12.98</v>
      </c>
      <c r="D116" s="128">
        <v>2.8809999999999998</v>
      </c>
      <c r="E116" s="128">
        <v>1.1753</v>
      </c>
      <c r="F116" s="128">
        <v>0.45340000000000003</v>
      </c>
      <c r="G116" s="128" t="s">
        <v>421</v>
      </c>
      <c r="H116" s="128" t="s">
        <v>122</v>
      </c>
      <c r="I116" s="128">
        <v>1.2392000000000001</v>
      </c>
      <c r="J116" s="128">
        <v>3.5743999999999998</v>
      </c>
      <c r="K116" s="129">
        <v>360</v>
      </c>
      <c r="L116" s="128">
        <v>2.0596999999999999</v>
      </c>
      <c r="M116" s="130" t="s">
        <v>389</v>
      </c>
      <c r="N116" s="133">
        <v>0</v>
      </c>
      <c r="O116" s="130" t="s">
        <v>389</v>
      </c>
      <c r="P116" s="133">
        <v>0</v>
      </c>
      <c r="Q116" s="133" t="s">
        <v>421</v>
      </c>
      <c r="R116" s="135">
        <v>6</v>
      </c>
      <c r="S116" s="135">
        <v>2</v>
      </c>
      <c r="T116" s="135">
        <v>1.9</v>
      </c>
      <c r="U116" s="135">
        <v>0.6</v>
      </c>
      <c r="V116" s="135">
        <v>17.899999999999999</v>
      </c>
      <c r="W116" s="135">
        <v>21.7</v>
      </c>
      <c r="X116" s="135">
        <v>45</v>
      </c>
      <c r="Y116" s="135" t="s">
        <v>702</v>
      </c>
      <c r="Z116" s="126">
        <v>365.1</v>
      </c>
    </row>
    <row r="117" spans="1:26" ht="12.75" customHeight="1" x14ac:dyDescent="0.2">
      <c r="A117" s="151" t="s">
        <v>731</v>
      </c>
      <c r="B117" s="151" t="s">
        <v>720</v>
      </c>
      <c r="C117" s="152">
        <v>15.62</v>
      </c>
      <c r="D117" s="153">
        <v>3</v>
      </c>
      <c r="E117" s="153">
        <v>1.2</v>
      </c>
      <c r="F117" s="153">
        <v>0.6</v>
      </c>
      <c r="G117" s="153" t="s">
        <v>421</v>
      </c>
      <c r="H117" s="153" t="s">
        <v>122</v>
      </c>
      <c r="I117" s="153">
        <v>1.0275000000000001</v>
      </c>
      <c r="J117" s="153">
        <v>3.0324</v>
      </c>
      <c r="K117" s="154">
        <v>380</v>
      </c>
      <c r="L117" s="153">
        <v>1.0876999999999999</v>
      </c>
      <c r="M117" s="153" t="s">
        <v>395</v>
      </c>
      <c r="N117" s="156">
        <v>0.2</v>
      </c>
      <c r="O117" s="153" t="s">
        <v>395</v>
      </c>
      <c r="P117" s="156">
        <v>0.4</v>
      </c>
      <c r="Q117" s="133" t="s">
        <v>421</v>
      </c>
      <c r="R117" s="135">
        <v>5.5</v>
      </c>
      <c r="S117" s="135">
        <v>1.65</v>
      </c>
      <c r="T117" s="135">
        <v>2.11</v>
      </c>
      <c r="U117" s="135">
        <v>0.7</v>
      </c>
      <c r="V117" s="135">
        <v>17.52</v>
      </c>
      <c r="W117" s="135">
        <v>20.420000000000002</v>
      </c>
      <c r="X117" s="135">
        <v>35</v>
      </c>
      <c r="Y117" s="135" t="s">
        <v>702</v>
      </c>
      <c r="Z117" s="156">
        <v>572.29999999999995</v>
      </c>
    </row>
    <row r="118" spans="1:26" ht="12.75" customHeight="1" x14ac:dyDescent="0.2">
      <c r="A118" s="126" t="s">
        <v>507</v>
      </c>
      <c r="B118" s="126" t="s">
        <v>509</v>
      </c>
      <c r="C118" s="127">
        <v>14.88</v>
      </c>
      <c r="D118" s="128">
        <v>2.6423000000000001</v>
      </c>
      <c r="E118" s="128">
        <v>0.99180000000000001</v>
      </c>
      <c r="F118" s="128">
        <v>0.61519999999999997</v>
      </c>
      <c r="G118" s="128" t="s">
        <v>421</v>
      </c>
      <c r="H118" s="128" t="s">
        <v>122</v>
      </c>
      <c r="I118" s="128">
        <v>1.1889000000000001</v>
      </c>
      <c r="J118" s="128">
        <v>4.5929000000000002</v>
      </c>
      <c r="K118" s="129">
        <v>360</v>
      </c>
      <c r="L118" s="128">
        <v>1.0401</v>
      </c>
      <c r="M118" s="130" t="s">
        <v>389</v>
      </c>
      <c r="N118" s="133">
        <v>0</v>
      </c>
      <c r="O118" s="130" t="s">
        <v>389</v>
      </c>
      <c r="P118" s="133">
        <v>0</v>
      </c>
      <c r="Q118" s="133" t="s">
        <v>421</v>
      </c>
      <c r="R118" s="135">
        <v>8.5</v>
      </c>
      <c r="S118" s="135">
        <v>4</v>
      </c>
      <c r="T118" s="135">
        <v>2.5</v>
      </c>
      <c r="U118" s="135">
        <v>0.5</v>
      </c>
      <c r="V118" s="135">
        <v>23</v>
      </c>
      <c r="W118" s="135">
        <v>26.95</v>
      </c>
      <c r="X118" s="135">
        <v>45</v>
      </c>
      <c r="Y118" s="135" t="s">
        <v>702</v>
      </c>
      <c r="Z118" s="126">
        <v>657.2</v>
      </c>
    </row>
  </sheetData>
  <autoFilter ref="A1:Z118">
    <sortState ref="A2:Z118">
      <sortCondition ref="Z1:Z118"/>
    </sortState>
  </autoFilter>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T41"/>
  <sheetViews>
    <sheetView workbookViewId="0">
      <pane ySplit="2" topLeftCell="A3" activePane="bottomLeft" state="frozen"/>
      <selection pane="bottomLeft" activeCell="J2" sqref="J2"/>
    </sheetView>
  </sheetViews>
  <sheetFormatPr defaultRowHeight="12.75" customHeight="1" x14ac:dyDescent="0.2"/>
  <cols>
    <col min="1" max="1" width="22.7109375" style="2" customWidth="1"/>
    <col min="2" max="2" width="8.7109375" style="1" customWidth="1"/>
    <col min="3" max="4" width="5.7109375" style="2" customWidth="1"/>
    <col min="5" max="5" width="24.7109375" style="2" bestFit="1" customWidth="1"/>
    <col min="6" max="6" width="8.7109375" style="1" customWidth="1"/>
    <col min="7" max="7" width="5.7109375" style="2" customWidth="1"/>
    <col min="8" max="8" width="8.5703125" style="2" bestFit="1" customWidth="1"/>
    <col min="9" max="9" width="22.7109375" style="2" customWidth="1"/>
    <col min="10" max="10" width="8.7109375" style="1" customWidth="1"/>
    <col min="11" max="12" width="5.7109375" style="2" customWidth="1"/>
    <col min="13" max="13" width="22.7109375" style="2" customWidth="1"/>
    <col min="14" max="14" width="8.7109375" style="1" customWidth="1"/>
    <col min="15" max="16" width="5.7109375" style="2" customWidth="1"/>
    <col min="17" max="17" width="22.7109375" style="2" customWidth="1"/>
    <col min="18" max="18" width="8.7109375" style="1" customWidth="1"/>
    <col min="19" max="20" width="5.7109375" style="2" customWidth="1"/>
    <col min="21" max="16384" width="9.140625" style="3"/>
  </cols>
  <sheetData>
    <row r="1" spans="1:11" ht="12.75" customHeight="1" x14ac:dyDescent="0.2">
      <c r="A1" s="48" t="s">
        <v>185</v>
      </c>
      <c r="C1" s="39"/>
      <c r="D1" s="3"/>
      <c r="E1" s="3" t="s">
        <v>219</v>
      </c>
      <c r="F1" s="1">
        <f>Summary!U17</f>
        <v>6.04</v>
      </c>
      <c r="G1" s="39" t="s">
        <v>2</v>
      </c>
      <c r="I1" s="45" t="s">
        <v>186</v>
      </c>
      <c r="J1" s="49">
        <f>IF(F1&gt;11,9,7)</f>
        <v>7</v>
      </c>
      <c r="K1" s="35" t="s">
        <v>3</v>
      </c>
    </row>
    <row r="2" spans="1:11" ht="12.75" customHeight="1" x14ac:dyDescent="0.2">
      <c r="A2" s="3" t="s">
        <v>187</v>
      </c>
      <c r="B2" s="50">
        <v>1135</v>
      </c>
      <c r="C2" s="36" t="s">
        <v>183</v>
      </c>
      <c r="D2" s="3"/>
      <c r="E2" s="3" t="s">
        <v>220</v>
      </c>
      <c r="F2" s="1">
        <f>Projectile!B9</f>
        <v>6.2</v>
      </c>
      <c r="G2" s="15" t="s">
        <v>2</v>
      </c>
      <c r="I2" s="3" t="s">
        <v>378</v>
      </c>
      <c r="J2" s="1">
        <v>10.06</v>
      </c>
      <c r="K2" s="39" t="s">
        <v>3</v>
      </c>
    </row>
    <row r="3" spans="1:11" ht="12.75" customHeight="1" x14ac:dyDescent="0.2">
      <c r="A3" s="3"/>
      <c r="C3" s="39"/>
      <c r="D3" s="3"/>
      <c r="E3" s="3"/>
      <c r="G3" s="51"/>
    </row>
    <row r="4" spans="1:11" ht="12.75" customHeight="1" x14ac:dyDescent="0.2">
      <c r="A4" s="48" t="s">
        <v>188</v>
      </c>
      <c r="C4" s="39"/>
      <c r="D4" s="3"/>
      <c r="E4" s="48" t="s">
        <v>189</v>
      </c>
      <c r="G4" s="51"/>
    </row>
    <row r="5" spans="1:11" ht="12.75" customHeight="1" x14ac:dyDescent="0.2">
      <c r="A5" s="3"/>
      <c r="C5" s="39"/>
      <c r="D5" s="3"/>
      <c r="E5" s="48"/>
      <c r="G5" s="51"/>
    </row>
    <row r="6" spans="1:11" ht="12.75" customHeight="1" x14ac:dyDescent="0.2">
      <c r="A6" s="48" t="s">
        <v>119</v>
      </c>
      <c r="B6" s="43" t="e">
        <f ca="1">B7+B8+B9+B10+B11</f>
        <v>#NAME?</v>
      </c>
      <c r="C6" s="47" t="s">
        <v>2</v>
      </c>
      <c r="D6" s="3"/>
      <c r="E6" s="48" t="s">
        <v>190</v>
      </c>
      <c r="F6" s="43" t="e">
        <f ca="1">B6+B28</f>
        <v>#NAME?</v>
      </c>
      <c r="G6" s="44" t="s">
        <v>2</v>
      </c>
      <c r="H6" s="40" t="e">
        <f ca="1">F6/25.4</f>
        <v>#NAME?</v>
      </c>
      <c r="I6" s="32" t="s">
        <v>223</v>
      </c>
    </row>
    <row r="7" spans="1:11" ht="12.75" customHeight="1" x14ac:dyDescent="0.2">
      <c r="A7" s="45" t="s">
        <v>191</v>
      </c>
      <c r="B7" s="99" t="e">
        <f ca="1">Case!B45</f>
        <v>#NAME?</v>
      </c>
      <c r="C7" s="36" t="s">
        <v>2</v>
      </c>
      <c r="D7" s="3"/>
      <c r="E7" s="45" t="s">
        <v>192</v>
      </c>
      <c r="F7" s="1" t="e">
        <f ca="1">B6</f>
        <v>#NAME?</v>
      </c>
      <c r="G7" s="51" t="s">
        <v>2</v>
      </c>
    </row>
    <row r="8" spans="1:11" ht="12.75" customHeight="1" x14ac:dyDescent="0.2">
      <c r="A8" s="45" t="s">
        <v>193</v>
      </c>
      <c r="B8" s="99" t="e">
        <f ca="1">Case!B35</f>
        <v>#NAME?</v>
      </c>
      <c r="C8" s="36" t="s">
        <v>2</v>
      </c>
      <c r="D8" s="3"/>
      <c r="E8" s="45" t="s">
        <v>194</v>
      </c>
      <c r="F8" s="1" t="e">
        <f ca="1">(F10-F11)/2</f>
        <v>#NAME?</v>
      </c>
      <c r="G8" s="51" t="s">
        <v>2</v>
      </c>
    </row>
    <row r="9" spans="1:11" ht="12.75" customHeight="1" x14ac:dyDescent="0.2">
      <c r="A9" s="45" t="s">
        <v>133</v>
      </c>
      <c r="B9" s="99" t="e">
        <f ca="1">Case!B22</f>
        <v>#NAME?</v>
      </c>
      <c r="C9" s="36" t="s">
        <v>2</v>
      </c>
      <c r="D9" s="3"/>
      <c r="E9" s="45" t="s">
        <v>195</v>
      </c>
      <c r="F9" s="1" t="e">
        <f ca="1">F6-F7</f>
        <v>#NAME?</v>
      </c>
      <c r="G9" s="51" t="s">
        <v>2</v>
      </c>
    </row>
    <row r="10" spans="1:11" ht="12.75" customHeight="1" x14ac:dyDescent="0.2">
      <c r="A10" s="3" t="s">
        <v>196</v>
      </c>
      <c r="B10" s="99" t="e">
        <f ca="1">Projectile!J16+B12+B13-0.5*(B17-B34)/TAN(B22*PI()/180)</f>
        <v>#NAME?</v>
      </c>
      <c r="C10" s="39" t="s">
        <v>2</v>
      </c>
      <c r="D10" s="1"/>
      <c r="E10" s="45" t="s">
        <v>197</v>
      </c>
      <c r="F10" s="1" t="e">
        <f ca="1">2*F12+B14</f>
        <v>#NAME?</v>
      </c>
      <c r="G10" s="51" t="s">
        <v>2</v>
      </c>
    </row>
    <row r="11" spans="1:11" ht="12.75" customHeight="1" x14ac:dyDescent="0.2">
      <c r="A11" s="3" t="s">
        <v>198</v>
      </c>
      <c r="B11" s="99" t="e">
        <f ca="1">(B17-B18)/(2*TAN(B22*PI()/180))</f>
        <v>#NAME?</v>
      </c>
      <c r="C11" s="39" t="s">
        <v>2</v>
      </c>
      <c r="D11" s="3"/>
      <c r="E11" s="45" t="s">
        <v>199</v>
      </c>
      <c r="F11" s="1">
        <f>F2*SQRT(B2/(B2-4/SQRT(3)*Case!B2))</f>
        <v>17.531149466852799</v>
      </c>
      <c r="G11" s="51" t="s">
        <v>2</v>
      </c>
    </row>
    <row r="12" spans="1:11" ht="12.75" customHeight="1" x14ac:dyDescent="0.2">
      <c r="A12" s="45" t="s">
        <v>200</v>
      </c>
      <c r="B12" s="99" t="e">
        <f ca="1">Inv_Elliptical(B34/2, Projectile!F11,Projectile!F12,Projectile!F13,Projectile!F14,Projectile!F5)</f>
        <v>#NAME?</v>
      </c>
      <c r="C12" s="39" t="s">
        <v>2</v>
      </c>
      <c r="D12" s="1"/>
      <c r="E12" s="45" t="s">
        <v>201</v>
      </c>
      <c r="F12" s="1" t="e">
        <f ca="1">1.005*Case!B8/2*(SQRT(B2/(B2-4/SQRT(3)*Case!B2))-1)</f>
        <v>#NAME?</v>
      </c>
      <c r="G12" s="35" t="s">
        <v>2</v>
      </c>
    </row>
    <row r="13" spans="1:11" ht="12.75" customHeight="1" x14ac:dyDescent="0.2">
      <c r="A13" s="45" t="s">
        <v>202</v>
      </c>
      <c r="B13" s="99">
        <f>Projectile!J19</f>
        <v>1.4</v>
      </c>
      <c r="C13" s="36" t="s">
        <v>2</v>
      </c>
      <c r="D13" s="3"/>
      <c r="E13" s="45" t="s">
        <v>203</v>
      </c>
      <c r="F13" s="1">
        <f>(F11-F2)/2</f>
        <v>5.6655747334263999</v>
      </c>
      <c r="G13" s="51" t="s">
        <v>2</v>
      </c>
    </row>
    <row r="14" spans="1:11" ht="12.75" customHeight="1" x14ac:dyDescent="0.2">
      <c r="A14" s="45" t="s">
        <v>204</v>
      </c>
      <c r="B14" s="99" t="e">
        <f ca="1">Case!B48+Case!B9*0.007</f>
        <v>#NAME?</v>
      </c>
      <c r="C14" s="36" t="s">
        <v>2</v>
      </c>
      <c r="D14" s="3"/>
      <c r="E14" s="3"/>
      <c r="G14" s="51"/>
    </row>
    <row r="15" spans="1:11" ht="12.75" customHeight="1" x14ac:dyDescent="0.2">
      <c r="A15" s="45" t="s">
        <v>205</v>
      </c>
      <c r="B15" s="99" t="e">
        <f ca="1">Case!B41+0.005*Case!B8</f>
        <v>#NAME?</v>
      </c>
      <c r="C15" s="36" t="s">
        <v>2</v>
      </c>
      <c r="D15" s="3"/>
    </row>
    <row r="16" spans="1:11" ht="12.75" customHeight="1" x14ac:dyDescent="0.2">
      <c r="A16" s="45" t="s">
        <v>206</v>
      </c>
      <c r="B16" s="100" t="e">
        <f ca="1">Case!B23+0.008*Projectile!B9</f>
        <v>#NAME?</v>
      </c>
      <c r="C16" s="36" t="s">
        <v>2</v>
      </c>
      <c r="D16" s="3"/>
    </row>
    <row r="17" spans="1:9" ht="12.75" customHeight="1" x14ac:dyDescent="0.2">
      <c r="A17" s="3" t="s">
        <v>365</v>
      </c>
      <c r="B17" s="99">
        <f>1.008*Projectile!B9</f>
        <v>6.2496</v>
      </c>
      <c r="C17" s="39" t="s">
        <v>2</v>
      </c>
      <c r="D17" s="3"/>
    </row>
    <row r="18" spans="1:9" ht="12.75" customHeight="1" x14ac:dyDescent="0.2">
      <c r="A18" s="3" t="s">
        <v>207</v>
      </c>
      <c r="B18" s="99">
        <f>F1</f>
        <v>6.04</v>
      </c>
      <c r="C18" s="39" t="s">
        <v>2</v>
      </c>
      <c r="D18" s="3"/>
    </row>
    <row r="19" spans="1:9" ht="12.75" customHeight="1" x14ac:dyDescent="0.2">
      <c r="A19" s="3" t="s">
        <v>208</v>
      </c>
      <c r="B19" s="99">
        <f>(Projectile!B9+B18)/2</f>
        <v>6.12</v>
      </c>
      <c r="C19" s="39" t="s">
        <v>2</v>
      </c>
      <c r="D19" s="3"/>
    </row>
    <row r="20" spans="1:9" ht="12.75" customHeight="1" x14ac:dyDescent="0.2">
      <c r="A20" s="45" t="s">
        <v>209</v>
      </c>
      <c r="B20" s="99" t="e">
        <f ca="1">360/PI()*ATAN((B14-B15)/(2*B7))</f>
        <v>#NAME?</v>
      </c>
      <c r="C20" s="36" t="s">
        <v>27</v>
      </c>
      <c r="D20" s="3"/>
    </row>
    <row r="21" spans="1:9" ht="12.75" customHeight="1" x14ac:dyDescent="0.2">
      <c r="A21" s="45" t="s">
        <v>210</v>
      </c>
      <c r="B21" s="99" t="e">
        <f ca="1">360/PI()*ATAN((B15-B16)/(2*B8))</f>
        <v>#NAME?</v>
      </c>
      <c r="C21" s="36" t="s">
        <v>27</v>
      </c>
      <c r="D21" s="3"/>
    </row>
    <row r="22" spans="1:9" ht="12.75" customHeight="1" x14ac:dyDescent="0.2">
      <c r="A22" s="3" t="s">
        <v>211</v>
      </c>
      <c r="B22" s="99" t="e">
        <f ca="1">-ATAN(Ddx_Elliptical(B12,Projectile!F11,Projectile!F13,Projectile!F14))*180/PI()</f>
        <v>#NAME?</v>
      </c>
      <c r="C22" s="39" t="s">
        <v>27</v>
      </c>
      <c r="D22" s="3"/>
    </row>
    <row r="23" spans="1:9" ht="12.75" customHeight="1" x14ac:dyDescent="0.2">
      <c r="A23" s="45" t="s">
        <v>551</v>
      </c>
      <c r="B23" s="1" t="e">
        <f ca="1">Case!F14-Case!F19+B10*B17*B17*PI()/4000+B11*(B17*B17+B34*B17+B34*B34)*PI()/12000</f>
        <v>#NAME?</v>
      </c>
      <c r="C23" s="39" t="s">
        <v>36</v>
      </c>
      <c r="D23" s="3"/>
    </row>
    <row r="26" spans="1:9" ht="12.75" customHeight="1" x14ac:dyDescent="0.2">
      <c r="A26" s="48" t="s">
        <v>212</v>
      </c>
      <c r="C26" s="39"/>
      <c r="D26" s="3"/>
    </row>
    <row r="27" spans="1:9" ht="12.75" customHeight="1" x14ac:dyDescent="0.2">
      <c r="A27" s="3"/>
      <c r="C27" s="39"/>
      <c r="D27" s="3"/>
    </row>
    <row r="28" spans="1:9" ht="12.75" customHeight="1" x14ac:dyDescent="0.2">
      <c r="A28" s="48" t="s">
        <v>213</v>
      </c>
      <c r="B28" s="43" t="e">
        <f ca="1">10*B41/B36</f>
        <v>#NAME?</v>
      </c>
      <c r="C28" s="44" t="s">
        <v>2</v>
      </c>
      <c r="D28" s="3"/>
      <c r="E28" s="3"/>
      <c r="G28" s="51"/>
      <c r="I28" s="3"/>
    </row>
    <row r="29" spans="1:9" ht="12.75" customHeight="1" x14ac:dyDescent="0.2">
      <c r="A29" s="3" t="s">
        <v>214</v>
      </c>
      <c r="B29" s="1">
        <f>SQRT(F2*F2-F1*F1)</f>
        <v>1.3994284547628737</v>
      </c>
      <c r="C29" s="51" t="s">
        <v>2</v>
      </c>
      <c r="D29" s="3"/>
      <c r="E29" s="3"/>
      <c r="G29" s="51"/>
      <c r="I29" s="3"/>
    </row>
    <row r="30" spans="1:9" ht="12.75" customHeight="1" x14ac:dyDescent="0.2">
      <c r="A30" s="3" t="s">
        <v>215</v>
      </c>
      <c r="B30" s="1">
        <f>F2*(PI()/J1-ACOS(F1/F2))</f>
        <v>1.3709612896827104</v>
      </c>
      <c r="C30" s="51" t="s">
        <v>2</v>
      </c>
      <c r="D30" s="3"/>
      <c r="E30" s="3"/>
      <c r="G30" s="51"/>
      <c r="I30" s="3"/>
    </row>
    <row r="31" spans="1:9" ht="12.75" customHeight="1" x14ac:dyDescent="0.2">
      <c r="A31" s="3" t="s">
        <v>216</v>
      </c>
      <c r="B31" s="1">
        <f>F2/2</f>
        <v>3.1</v>
      </c>
      <c r="C31" s="51" t="s">
        <v>2</v>
      </c>
      <c r="D31" s="3"/>
      <c r="E31" s="3"/>
      <c r="G31" s="51"/>
      <c r="I31" s="1"/>
    </row>
    <row r="32" spans="1:9" ht="12.75" customHeight="1" x14ac:dyDescent="0.2">
      <c r="A32" s="3" t="s">
        <v>217</v>
      </c>
      <c r="B32" s="1">
        <f>F1/2</f>
        <v>3.02</v>
      </c>
      <c r="C32" s="51" t="s">
        <v>2</v>
      </c>
      <c r="D32" s="3"/>
      <c r="E32" s="3"/>
      <c r="G32" s="51"/>
      <c r="I32" s="1"/>
    </row>
    <row r="33" spans="1:9" ht="12.75" customHeight="1" x14ac:dyDescent="0.2">
      <c r="A33" s="3" t="s">
        <v>218</v>
      </c>
      <c r="B33" s="1">
        <f>F2/2</f>
        <v>3.1</v>
      </c>
      <c r="C33" s="51" t="s">
        <v>2</v>
      </c>
      <c r="D33" s="3"/>
      <c r="G33" s="51"/>
      <c r="I33" s="1"/>
    </row>
    <row r="34" spans="1:9" ht="12.75" customHeight="1" x14ac:dyDescent="0.2">
      <c r="A34" s="45" t="s">
        <v>221</v>
      </c>
      <c r="B34" s="1">
        <f>2*SQRT(100/PI()*B36)</f>
        <v>6.1459788429805915</v>
      </c>
      <c r="C34" s="36" t="s">
        <v>2</v>
      </c>
      <c r="D34" s="3"/>
      <c r="E34" s="3"/>
      <c r="G34" s="51"/>
      <c r="I34" s="45"/>
    </row>
    <row r="35" spans="1:9" ht="12.75" customHeight="1" x14ac:dyDescent="0.2">
      <c r="A35" s="48" t="s">
        <v>222</v>
      </c>
      <c r="B35" s="104" t="e">
        <f ca="1">ROUND((20*(Case!F2+5)*POWER(Projectile!B9,2)/Projectile!B17*POWER(Projectile!B12/10.9,1/2))/30,0)*30</f>
        <v>#NAME?</v>
      </c>
      <c r="C35" s="47" t="s">
        <v>2</v>
      </c>
      <c r="D35" s="105" t="e">
        <f ca="1">B35/25.4</f>
        <v>#NAME?</v>
      </c>
      <c r="E35" s="48" t="s">
        <v>223</v>
      </c>
      <c r="G35" s="51"/>
      <c r="I35" s="48"/>
    </row>
    <row r="36" spans="1:9" ht="12.75" customHeight="1" x14ac:dyDescent="0.2">
      <c r="A36" s="3" t="s">
        <v>224</v>
      </c>
      <c r="B36" s="1">
        <f>J1/400*(F1*B29+F2*B30)</f>
        <v>0.29666888759900989</v>
      </c>
      <c r="C36" s="51" t="s">
        <v>225</v>
      </c>
      <c r="D36" s="3"/>
      <c r="E36" s="3"/>
      <c r="G36" s="51"/>
      <c r="I36" s="3"/>
    </row>
    <row r="37" spans="1:9" ht="12.75" customHeight="1" x14ac:dyDescent="0.2">
      <c r="A37" s="3" t="s">
        <v>226</v>
      </c>
      <c r="B37" s="1">
        <f>PI()/400*POWER(Projectile!B9,2)</f>
        <v>0.30190705400997919</v>
      </c>
      <c r="C37" s="51" t="s">
        <v>225</v>
      </c>
      <c r="D37" s="3"/>
      <c r="E37" s="3"/>
      <c r="G37" s="51"/>
      <c r="I37" s="3"/>
    </row>
    <row r="38" spans="1:9" ht="12.75" customHeight="1" x14ac:dyDescent="0.2">
      <c r="A38" s="3" t="s">
        <v>227</v>
      </c>
      <c r="B38" s="1">
        <f>100*B36/B37</f>
        <v>98.264973825091161</v>
      </c>
      <c r="C38" s="51" t="s">
        <v>228</v>
      </c>
      <c r="D38" s="3"/>
      <c r="E38" s="3"/>
      <c r="G38" s="51"/>
      <c r="I38" s="3"/>
    </row>
    <row r="39" spans="1:9" ht="12.75" customHeight="1" x14ac:dyDescent="0.2">
      <c r="A39" s="3" t="s">
        <v>229</v>
      </c>
      <c r="B39" s="1" t="e">
        <f ca="1">ATAN(PI()*Projectile!B2/B35)*180/PI()</f>
        <v>#NAME?</v>
      </c>
      <c r="C39" s="39" t="s">
        <v>27</v>
      </c>
      <c r="D39" s="3"/>
      <c r="E39" s="3"/>
      <c r="G39" s="51"/>
      <c r="I39" s="3"/>
    </row>
    <row r="40" spans="1:9" ht="12.75" customHeight="1" x14ac:dyDescent="0.2">
      <c r="A40" s="3" t="s">
        <v>230</v>
      </c>
      <c r="B40" s="1" t="e">
        <f ca="1">(B28+B11)/B35</f>
        <v>#NAME?</v>
      </c>
      <c r="C40" s="39" t="s">
        <v>3</v>
      </c>
      <c r="D40" s="3"/>
      <c r="E40" s="3"/>
      <c r="G40" s="51"/>
      <c r="I40" s="3"/>
    </row>
    <row r="41" spans="1:9" ht="12.75" customHeight="1" x14ac:dyDescent="0.2">
      <c r="A41" s="2" t="s">
        <v>552</v>
      </c>
      <c r="B41" s="1" t="e">
        <f ca="1">(Case!F17-Projectile!U4)*J2-B23</f>
        <v>#NAME?</v>
      </c>
      <c r="C41" s="2" t="s">
        <v>36</v>
      </c>
    </row>
  </sheetData>
  <phoneticPr fontId="8" type="noConversion"/>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U51"/>
  <sheetViews>
    <sheetView workbookViewId="0">
      <pane ySplit="2" topLeftCell="A3" activePane="bottomLeft" state="frozen"/>
      <selection pane="bottomLeft" activeCell="B9" sqref="B9"/>
    </sheetView>
  </sheetViews>
  <sheetFormatPr defaultRowHeight="12.75" customHeight="1" x14ac:dyDescent="0.2"/>
  <cols>
    <col min="1" max="1" width="22.7109375" style="2" customWidth="1"/>
    <col min="2" max="2" width="8.7109375" style="1" customWidth="1"/>
    <col min="3" max="3" width="5.7109375" style="39" customWidth="1"/>
    <col min="4" max="4" width="5.7109375" style="2" customWidth="1"/>
    <col min="5" max="5" width="22.7109375" style="2" customWidth="1"/>
    <col min="6" max="6" width="8.7109375" style="1" customWidth="1"/>
    <col min="7" max="7" width="5.7109375" style="39" customWidth="1"/>
    <col min="8" max="8" width="5.7109375" style="2" customWidth="1"/>
    <col min="9" max="9" width="22.7109375" style="2" customWidth="1"/>
    <col min="10" max="10" width="8.7109375" style="1" customWidth="1"/>
    <col min="11" max="12" width="5.7109375" style="2" customWidth="1"/>
    <col min="13" max="13" width="22.7109375" style="2" customWidth="1"/>
    <col min="14" max="14" width="8.7109375" style="1" customWidth="1"/>
    <col min="15" max="16" width="5.7109375" style="2" customWidth="1"/>
    <col min="17" max="17" width="22.7109375" style="2" customWidth="1"/>
    <col min="18" max="18" width="8.7109375" style="1" customWidth="1"/>
    <col min="19" max="20" width="5.7109375" style="2" customWidth="1"/>
    <col min="21" max="21" width="9.140625" style="3" hidden="1" customWidth="1"/>
    <col min="22" max="16384" width="9.140625" style="3"/>
  </cols>
  <sheetData>
    <row r="1" spans="1:21" ht="12.75" customHeight="1" x14ac:dyDescent="0.2">
      <c r="A1" s="48" t="s">
        <v>185</v>
      </c>
      <c r="D1" s="3"/>
      <c r="E1" s="3" t="s">
        <v>187</v>
      </c>
      <c r="F1" s="50">
        <v>835</v>
      </c>
      <c r="G1" s="36" t="s">
        <v>183</v>
      </c>
    </row>
    <row r="2" spans="1:21" ht="12.75" customHeight="1" x14ac:dyDescent="0.2">
      <c r="A2" s="3" t="s">
        <v>327</v>
      </c>
      <c r="B2" s="49">
        <v>7</v>
      </c>
      <c r="C2" s="39" t="s">
        <v>3</v>
      </c>
      <c r="D2" s="3"/>
      <c r="E2" s="2" t="s">
        <v>330</v>
      </c>
      <c r="F2" s="49">
        <v>200000</v>
      </c>
      <c r="G2" s="36" t="s">
        <v>183</v>
      </c>
    </row>
    <row r="3" spans="1:21" s="1" customFormat="1" ht="12.75" customHeight="1" x14ac:dyDescent="0.2">
      <c r="A3" s="3"/>
      <c r="C3" s="39"/>
      <c r="D3" s="3"/>
      <c r="E3" s="3"/>
      <c r="G3" s="51"/>
      <c r="H3" s="2"/>
      <c r="I3" s="2"/>
      <c r="K3" s="2"/>
      <c r="L3" s="2"/>
      <c r="M3" s="2"/>
      <c r="O3" s="2"/>
      <c r="P3" s="2"/>
      <c r="Q3" s="2"/>
      <c r="S3" s="2"/>
      <c r="T3" s="2"/>
      <c r="U3" s="49">
        <v>2</v>
      </c>
    </row>
    <row r="4" spans="1:21" s="1" customFormat="1" ht="12.75" customHeight="1" x14ac:dyDescent="0.2">
      <c r="A4" s="84" t="s">
        <v>339</v>
      </c>
      <c r="C4" s="39"/>
      <c r="D4" s="3"/>
      <c r="E4" s="32"/>
      <c r="G4" s="39"/>
      <c r="H4" s="2"/>
      <c r="I4" s="2"/>
      <c r="K4" s="2"/>
      <c r="L4" s="2"/>
      <c r="M4" s="2"/>
      <c r="O4" s="2"/>
      <c r="P4" s="2"/>
      <c r="Q4" s="2"/>
      <c r="S4" s="2"/>
      <c r="T4" s="2"/>
      <c r="U4" s="49">
        <v>3</v>
      </c>
    </row>
    <row r="5" spans="1:21" s="1" customFormat="1" ht="12.75" customHeight="1" x14ac:dyDescent="0.2">
      <c r="D5" s="3"/>
      <c r="E5" s="2"/>
      <c r="G5" s="39"/>
      <c r="H5" s="2"/>
      <c r="I5" s="2"/>
      <c r="K5" s="2"/>
      <c r="L5" s="2"/>
      <c r="M5" s="2"/>
      <c r="O5" s="2"/>
      <c r="P5" s="2"/>
      <c r="Q5" s="2"/>
      <c r="S5" s="2"/>
      <c r="T5" s="2"/>
      <c r="U5" s="49">
        <v>4</v>
      </c>
    </row>
    <row r="6" spans="1:21" s="1" customFormat="1" ht="12.75" customHeight="1" x14ac:dyDescent="0.2">
      <c r="A6" s="3" t="s">
        <v>341</v>
      </c>
      <c r="B6" s="1" t="e">
        <f ca="1">MAX(Case!J9,Case!J10,Case!J15,Case!J20)</f>
        <v>#NAME?</v>
      </c>
      <c r="C6" s="39" t="s">
        <v>2</v>
      </c>
      <c r="D6" s="3"/>
      <c r="E6" s="2"/>
      <c r="G6" s="39"/>
      <c r="H6" s="2"/>
      <c r="I6" s="2"/>
      <c r="K6" s="2"/>
      <c r="L6" s="2"/>
      <c r="M6" s="2"/>
      <c r="O6" s="2"/>
      <c r="P6" s="2"/>
      <c r="Q6" s="2"/>
      <c r="S6" s="2"/>
      <c r="T6" s="2"/>
      <c r="U6" s="49">
        <v>5</v>
      </c>
    </row>
    <row r="7" spans="1:21" s="1" customFormat="1" ht="12.75" customHeight="1" x14ac:dyDescent="0.2">
      <c r="A7" s="1" t="s">
        <v>337</v>
      </c>
      <c r="B7" s="1" t="e">
        <f ca="1">PI()/400*B6*B6</f>
        <v>#NAME?</v>
      </c>
      <c r="C7" s="85" t="s">
        <v>225</v>
      </c>
      <c r="D7" s="3"/>
      <c r="E7" s="2"/>
      <c r="G7" s="39"/>
      <c r="H7" s="2"/>
      <c r="I7" s="2"/>
      <c r="K7" s="2"/>
      <c r="L7" s="2"/>
      <c r="M7" s="2"/>
      <c r="O7" s="2"/>
      <c r="P7" s="2"/>
      <c r="Q7" s="2"/>
      <c r="S7" s="2"/>
      <c r="T7" s="2"/>
      <c r="U7" s="49">
        <v>6</v>
      </c>
    </row>
    <row r="8" spans="1:21" s="1" customFormat="1" ht="12.75" customHeight="1" x14ac:dyDescent="0.2">
      <c r="A8" s="3" t="s">
        <v>343</v>
      </c>
      <c r="B8" s="1" t="e">
        <f ca="1">PI()/400*(Case!B59*Case!B59-Case!F8*Case!F8)</f>
        <v>#NAME?</v>
      </c>
      <c r="C8" s="39" t="s">
        <v>225</v>
      </c>
      <c r="E8" s="2"/>
      <c r="G8" s="39"/>
      <c r="K8" s="2"/>
      <c r="L8" s="2"/>
      <c r="M8" s="2"/>
      <c r="O8" s="2"/>
      <c r="P8" s="2"/>
      <c r="Q8" s="2"/>
      <c r="S8" s="2"/>
      <c r="T8" s="2"/>
      <c r="U8" s="49">
        <v>7</v>
      </c>
    </row>
    <row r="9" spans="1:21" s="1" customFormat="1" ht="12.75" customHeight="1" x14ac:dyDescent="0.2">
      <c r="A9" s="2" t="s">
        <v>329</v>
      </c>
      <c r="B9" s="49" t="e">
        <f ca="1">100*B7*B11</f>
        <v>#NAME?</v>
      </c>
      <c r="C9" s="39" t="s">
        <v>328</v>
      </c>
      <c r="D9" s="3"/>
      <c r="E9" s="2"/>
      <c r="G9" s="39"/>
      <c r="K9" s="2"/>
      <c r="L9" s="2"/>
      <c r="M9" s="2"/>
      <c r="O9" s="2"/>
      <c r="P9" s="2"/>
      <c r="Q9" s="2"/>
      <c r="S9" s="2"/>
      <c r="T9" s="2"/>
    </row>
    <row r="10" spans="1:21" s="1" customFormat="1" ht="12.75" customHeight="1" x14ac:dyDescent="0.2">
      <c r="A10" s="84" t="s">
        <v>336</v>
      </c>
      <c r="B10" s="86" t="e">
        <f ca="1">4/3*B9</f>
        <v>#NAME?</v>
      </c>
      <c r="C10" s="83" t="s">
        <v>328</v>
      </c>
      <c r="E10" s="2"/>
      <c r="G10" s="39"/>
      <c r="K10" s="2"/>
      <c r="L10" s="2"/>
      <c r="M10" s="2"/>
      <c r="O10" s="2"/>
      <c r="P10" s="2"/>
      <c r="Q10" s="2"/>
      <c r="S10" s="2"/>
      <c r="T10" s="2"/>
    </row>
    <row r="11" spans="1:21" s="1" customFormat="1" ht="12.75" customHeight="1" x14ac:dyDescent="0.2">
      <c r="A11" s="3" t="s">
        <v>338</v>
      </c>
      <c r="B11" s="50">
        <f>Case!B2</f>
        <v>430</v>
      </c>
      <c r="C11" s="36" t="s">
        <v>183</v>
      </c>
      <c r="E11" s="45"/>
      <c r="G11" s="39"/>
      <c r="K11" s="2"/>
      <c r="L11" s="2"/>
      <c r="M11" s="2"/>
      <c r="O11" s="2"/>
      <c r="P11" s="2"/>
      <c r="Q11" s="2"/>
      <c r="S11" s="2"/>
      <c r="T11" s="2"/>
    </row>
    <row r="12" spans="1:21" s="1" customFormat="1" ht="12.75" customHeight="1" x14ac:dyDescent="0.2">
      <c r="A12" s="3" t="s">
        <v>340</v>
      </c>
      <c r="B12" s="50">
        <f>4/3*B11</f>
        <v>573.33333333333326</v>
      </c>
      <c r="C12" s="36" t="s">
        <v>183</v>
      </c>
      <c r="E12" s="45"/>
      <c r="G12" s="39"/>
      <c r="K12" s="2"/>
      <c r="L12" s="2"/>
      <c r="M12" s="2"/>
      <c r="O12" s="2"/>
      <c r="P12" s="2"/>
      <c r="Q12" s="2"/>
      <c r="S12" s="2"/>
      <c r="T12" s="2"/>
    </row>
    <row r="13" spans="1:21" s="1" customFormat="1" ht="12.75" customHeight="1" x14ac:dyDescent="0.2">
      <c r="A13" s="84" t="s">
        <v>342</v>
      </c>
      <c r="B13" s="52" t="e">
        <f ca="1">B10/B8/100</f>
        <v>#NAME?</v>
      </c>
      <c r="C13" s="83" t="s">
        <v>183</v>
      </c>
      <c r="D13" s="3"/>
      <c r="E13" s="2"/>
      <c r="G13" s="39"/>
      <c r="H13" s="2"/>
      <c r="I13" s="2"/>
      <c r="K13" s="2"/>
      <c r="L13" s="2"/>
      <c r="M13" s="2"/>
      <c r="O13" s="2"/>
      <c r="P13" s="2"/>
      <c r="Q13" s="2"/>
      <c r="S13" s="2"/>
      <c r="T13" s="2"/>
    </row>
    <row r="14" spans="1:21" s="1" customFormat="1" ht="12.75" customHeight="1" x14ac:dyDescent="0.2">
      <c r="D14" s="3"/>
      <c r="E14" s="48"/>
      <c r="G14" s="51"/>
      <c r="H14" s="2"/>
      <c r="I14" s="2"/>
      <c r="K14" s="2"/>
      <c r="L14" s="2"/>
      <c r="M14" s="2"/>
      <c r="O14" s="2"/>
      <c r="P14" s="2"/>
      <c r="Q14" s="2"/>
      <c r="S14" s="2"/>
      <c r="T14" s="2"/>
    </row>
    <row r="15" spans="1:21" s="1" customFormat="1" ht="12.75" customHeight="1" x14ac:dyDescent="0.2">
      <c r="A15" s="32" t="s">
        <v>344</v>
      </c>
      <c r="B15" s="37"/>
      <c r="C15" s="83"/>
      <c r="D15" s="32"/>
      <c r="E15" s="32"/>
      <c r="K15" s="2"/>
      <c r="L15" s="2"/>
      <c r="M15" s="2"/>
      <c r="O15" s="2"/>
      <c r="P15" s="2"/>
      <c r="Q15" s="2"/>
      <c r="S15" s="2"/>
      <c r="T15" s="2"/>
    </row>
    <row r="16" spans="1:21" s="1" customFormat="1" ht="12.75" customHeight="1" x14ac:dyDescent="0.2">
      <c r="A16" s="45"/>
      <c r="C16" s="51"/>
      <c r="D16" s="2"/>
      <c r="E16" s="2"/>
      <c r="K16" s="2"/>
      <c r="L16" s="2"/>
      <c r="M16" s="2"/>
      <c r="O16" s="2"/>
      <c r="P16" s="2"/>
      <c r="Q16" s="2"/>
      <c r="S16" s="2"/>
      <c r="T16" s="2"/>
      <c r="U16" s="3"/>
    </row>
    <row r="17" spans="1:21" s="1" customFormat="1" ht="12.75" customHeight="1" x14ac:dyDescent="0.2">
      <c r="A17" s="48" t="s">
        <v>331</v>
      </c>
      <c r="C17" s="36"/>
      <c r="D17" s="2"/>
      <c r="K17" s="2"/>
      <c r="L17" s="2"/>
      <c r="M17" s="2"/>
      <c r="O17" s="2"/>
      <c r="P17" s="2"/>
      <c r="Q17" s="2"/>
      <c r="S17" s="2"/>
      <c r="T17" s="2"/>
      <c r="U17" s="3"/>
    </row>
    <row r="18" spans="1:21" s="1" customFormat="1" ht="12.75" customHeight="1" x14ac:dyDescent="0.2">
      <c r="A18" s="45" t="s">
        <v>332</v>
      </c>
      <c r="B18" s="1">
        <v>19.399999999999999</v>
      </c>
      <c r="C18" s="36" t="s">
        <v>2</v>
      </c>
      <c r="D18" s="2"/>
      <c r="E18" s="2"/>
      <c r="K18" s="2"/>
      <c r="L18" s="2"/>
      <c r="M18" s="2"/>
      <c r="O18" s="2"/>
      <c r="P18" s="2"/>
      <c r="Q18" s="2"/>
      <c r="S18" s="2"/>
      <c r="T18" s="2"/>
      <c r="U18" s="3"/>
    </row>
    <row r="19" spans="1:21" s="1" customFormat="1" ht="12.75" customHeight="1" x14ac:dyDescent="0.2">
      <c r="A19" s="45" t="s">
        <v>333</v>
      </c>
      <c r="B19" s="1">
        <v>5</v>
      </c>
      <c r="C19" s="36" t="s">
        <v>2</v>
      </c>
      <c r="D19" s="2"/>
      <c r="E19" s="2"/>
      <c r="K19" s="2"/>
      <c r="L19" s="2"/>
      <c r="M19" s="2"/>
      <c r="O19" s="2"/>
      <c r="P19" s="2"/>
      <c r="Q19" s="2"/>
      <c r="S19" s="2"/>
      <c r="T19" s="2"/>
      <c r="U19" s="3"/>
    </row>
    <row r="20" spans="1:21" s="1" customFormat="1" ht="12.75" customHeight="1" x14ac:dyDescent="0.2">
      <c r="A20" s="3" t="s">
        <v>334</v>
      </c>
      <c r="B20" s="1">
        <f>B18*B19/100</f>
        <v>0.97</v>
      </c>
      <c r="C20" s="39" t="s">
        <v>225</v>
      </c>
      <c r="D20" s="2"/>
      <c r="E20" s="2"/>
      <c r="K20" s="2"/>
      <c r="L20" s="2"/>
      <c r="M20" s="2"/>
      <c r="O20" s="2"/>
      <c r="P20" s="2"/>
      <c r="Q20" s="2"/>
      <c r="S20" s="2"/>
      <c r="T20" s="2"/>
      <c r="U20" s="3"/>
    </row>
    <row r="21" spans="1:21" s="1" customFormat="1" ht="12.75" customHeight="1" x14ac:dyDescent="0.2">
      <c r="A21" s="84" t="s">
        <v>335</v>
      </c>
      <c r="B21" s="86">
        <f>50*B20*F1</f>
        <v>40497.5</v>
      </c>
      <c r="C21" s="47" t="s">
        <v>328</v>
      </c>
      <c r="D21" s="2"/>
      <c r="E21" s="2"/>
      <c r="K21" s="2"/>
      <c r="L21" s="2"/>
      <c r="M21" s="2"/>
      <c r="O21" s="2"/>
      <c r="P21" s="2"/>
      <c r="Q21" s="2"/>
      <c r="S21" s="2"/>
      <c r="T21" s="2"/>
      <c r="U21" s="3"/>
    </row>
    <row r="22" spans="1:21" s="1" customFormat="1" ht="12.75" customHeight="1" x14ac:dyDescent="0.2">
      <c r="A22" s="37" t="s">
        <v>346</v>
      </c>
      <c r="B22" s="86">
        <f>B2*B21</f>
        <v>283482.5</v>
      </c>
      <c r="C22" s="41" t="s">
        <v>328</v>
      </c>
      <c r="D22" s="2"/>
      <c r="E22" s="2"/>
      <c r="K22" s="2"/>
      <c r="L22" s="2"/>
      <c r="M22" s="2"/>
      <c r="O22" s="2"/>
      <c r="P22" s="2"/>
      <c r="Q22" s="2"/>
      <c r="S22" s="2"/>
      <c r="T22" s="2"/>
      <c r="U22" s="3"/>
    </row>
    <row r="23" spans="1:21" s="1" customFormat="1" ht="12.75" customHeight="1" x14ac:dyDescent="0.2">
      <c r="A23" s="45" t="s">
        <v>347</v>
      </c>
      <c r="B23" s="1">
        <f>1/B2</f>
        <v>0.14285714285714285</v>
      </c>
      <c r="C23" s="51" t="s">
        <v>3</v>
      </c>
      <c r="D23" s="2"/>
      <c r="E23" s="2"/>
      <c r="K23" s="2"/>
      <c r="L23" s="2"/>
      <c r="M23" s="2"/>
      <c r="O23" s="2"/>
      <c r="P23" s="2"/>
      <c r="Q23" s="2"/>
      <c r="S23" s="2"/>
      <c r="T23" s="2"/>
      <c r="U23" s="3"/>
    </row>
    <row r="24" spans="1:21" s="2" customFormat="1" ht="12.75" customHeight="1" x14ac:dyDescent="0.2">
      <c r="A24" s="84" t="s">
        <v>345</v>
      </c>
      <c r="B24" s="86">
        <f>B2*(1-B23)*B21</f>
        <v>242985</v>
      </c>
      <c r="C24" s="87" t="s">
        <v>328</v>
      </c>
      <c r="J24" s="1"/>
      <c r="N24" s="1"/>
      <c r="R24" s="1"/>
      <c r="U24" s="3"/>
    </row>
    <row r="25" spans="1:21" s="2" customFormat="1" ht="12.75" customHeight="1" x14ac:dyDescent="0.2">
      <c r="A25" s="2" t="s">
        <v>371</v>
      </c>
      <c r="B25" s="1">
        <v>0.18010000000000001</v>
      </c>
      <c r="C25" s="39" t="s">
        <v>225</v>
      </c>
      <c r="J25" s="1"/>
      <c r="N25" s="1"/>
      <c r="R25" s="1"/>
      <c r="U25" s="3"/>
    </row>
    <row r="26" spans="1:21" s="2" customFormat="1" ht="12.75" customHeight="1" x14ac:dyDescent="0.2">
      <c r="A26" s="32" t="s">
        <v>372</v>
      </c>
      <c r="B26" s="52" t="e">
        <f ca="1">B10/(3*B25)/100</f>
        <v>#NAME?</v>
      </c>
      <c r="C26" s="83" t="s">
        <v>183</v>
      </c>
      <c r="J26" s="1"/>
      <c r="N26" s="1"/>
      <c r="R26" s="1"/>
      <c r="U26" s="3"/>
    </row>
    <row r="27" spans="1:21" s="2" customFormat="1" ht="12.75" customHeight="1" x14ac:dyDescent="0.2">
      <c r="J27" s="1"/>
      <c r="N27" s="1"/>
      <c r="R27" s="1"/>
      <c r="U27" s="3"/>
    </row>
    <row r="28" spans="1:21" s="2" customFormat="1" ht="12.75" customHeight="1" x14ac:dyDescent="0.2">
      <c r="A28" s="45" t="s">
        <v>373</v>
      </c>
      <c r="B28" s="1">
        <v>0.44800000000000001</v>
      </c>
      <c r="C28" s="36" t="s">
        <v>375</v>
      </c>
      <c r="D28" s="3"/>
      <c r="E28" s="3"/>
      <c r="F28" s="1"/>
      <c r="G28" s="51"/>
      <c r="J28" s="1"/>
      <c r="N28" s="1"/>
      <c r="R28" s="1"/>
      <c r="U28" s="3"/>
    </row>
    <row r="29" spans="1:21" s="2" customFormat="1" ht="12.75" customHeight="1" x14ac:dyDescent="0.2">
      <c r="A29" s="3" t="s">
        <v>374</v>
      </c>
      <c r="B29" s="1" t="e">
        <f ca="1">B10/(2*B28)/100</f>
        <v>#NAME?</v>
      </c>
      <c r="C29" s="39"/>
      <c r="D29" s="3"/>
      <c r="E29" s="3"/>
      <c r="F29" s="1"/>
      <c r="G29" s="51"/>
      <c r="J29" s="1"/>
      <c r="N29" s="1"/>
      <c r="R29" s="1"/>
      <c r="U29" s="3"/>
    </row>
    <row r="30" spans="1:21" s="2" customFormat="1" ht="12.75" customHeight="1" x14ac:dyDescent="0.2">
      <c r="A30" s="45"/>
      <c r="B30" s="1" t="e">
        <f ca="1">B29/F1</f>
        <v>#NAME?</v>
      </c>
      <c r="C30" s="39"/>
      <c r="D30" s="3"/>
      <c r="E30" s="3"/>
      <c r="F30" s="34"/>
      <c r="G30" s="51"/>
      <c r="J30" s="1"/>
      <c r="N30" s="1"/>
      <c r="R30" s="1"/>
      <c r="U30" s="3"/>
    </row>
    <row r="31" spans="1:21" s="2" customFormat="1" ht="12.75" customHeight="1" x14ac:dyDescent="0.2">
      <c r="A31" s="48"/>
      <c r="B31" s="1"/>
      <c r="C31" s="39"/>
      <c r="D31" s="3"/>
      <c r="E31" s="3"/>
      <c r="F31" s="1"/>
      <c r="G31" s="51"/>
      <c r="J31" s="1"/>
      <c r="N31" s="1"/>
      <c r="R31" s="1"/>
      <c r="U31" s="3"/>
    </row>
    <row r="32" spans="1:21" s="2" customFormat="1" ht="12.75" customHeight="1" x14ac:dyDescent="0.2">
      <c r="A32" s="3"/>
      <c r="B32" s="1"/>
      <c r="C32" s="39"/>
      <c r="D32" s="3"/>
      <c r="E32" s="3"/>
      <c r="F32" s="1"/>
      <c r="G32" s="51"/>
      <c r="J32" s="1"/>
      <c r="N32" s="1"/>
      <c r="R32" s="1"/>
      <c r="U32" s="3"/>
    </row>
    <row r="33" spans="1:21" s="2" customFormat="1" ht="12.75" customHeight="1" x14ac:dyDescent="0.2">
      <c r="A33" s="48"/>
      <c r="B33" s="43"/>
      <c r="C33" s="44"/>
      <c r="D33" s="3"/>
      <c r="E33" s="3"/>
      <c r="F33" s="1"/>
      <c r="G33" s="51"/>
      <c r="J33" s="1"/>
      <c r="N33" s="1"/>
      <c r="R33" s="1"/>
      <c r="U33" s="3"/>
    </row>
    <row r="34" spans="1:21" s="2" customFormat="1" ht="12.75" customHeight="1" x14ac:dyDescent="0.2">
      <c r="A34" s="3"/>
      <c r="B34" s="1"/>
      <c r="C34" s="51"/>
      <c r="D34" s="3"/>
      <c r="E34" s="3"/>
      <c r="F34" s="1"/>
      <c r="G34" s="51"/>
      <c r="J34" s="1"/>
      <c r="N34" s="1"/>
      <c r="R34" s="1"/>
      <c r="U34" s="3"/>
    </row>
    <row r="35" spans="1:21" s="2" customFormat="1" ht="12.75" customHeight="1" x14ac:dyDescent="0.2">
      <c r="A35" s="3"/>
      <c r="B35" s="1"/>
      <c r="C35" s="51"/>
      <c r="D35" s="3"/>
      <c r="E35" s="3"/>
      <c r="F35" s="1"/>
      <c r="G35" s="51"/>
      <c r="J35" s="1"/>
      <c r="N35" s="1"/>
      <c r="R35" s="1"/>
      <c r="U35" s="3"/>
    </row>
    <row r="36" spans="1:21" s="2" customFormat="1" ht="12.75" customHeight="1" x14ac:dyDescent="0.2">
      <c r="A36" s="3"/>
      <c r="B36" s="1"/>
      <c r="C36" s="51"/>
      <c r="D36" s="3"/>
      <c r="E36" s="3"/>
      <c r="F36" s="1"/>
      <c r="G36" s="51"/>
      <c r="J36" s="1"/>
      <c r="N36" s="1"/>
      <c r="R36" s="1"/>
      <c r="U36" s="3"/>
    </row>
    <row r="37" spans="1:21" s="2" customFormat="1" ht="12.75" customHeight="1" x14ac:dyDescent="0.2">
      <c r="A37" s="3"/>
      <c r="B37" s="1"/>
      <c r="C37" s="51"/>
      <c r="D37" s="3"/>
      <c r="E37" s="3"/>
      <c r="F37" s="1"/>
      <c r="G37" s="51"/>
      <c r="J37" s="1"/>
      <c r="N37" s="1"/>
      <c r="R37" s="1"/>
      <c r="U37" s="3"/>
    </row>
    <row r="38" spans="1:21" s="2" customFormat="1" ht="12.75" customHeight="1" x14ac:dyDescent="0.2">
      <c r="A38" s="3"/>
      <c r="B38" s="1"/>
      <c r="C38" s="51"/>
      <c r="D38" s="3"/>
      <c r="E38" s="3"/>
      <c r="F38" s="1"/>
      <c r="G38" s="51"/>
      <c r="J38" s="1"/>
      <c r="N38" s="1"/>
      <c r="R38" s="1"/>
      <c r="U38" s="3"/>
    </row>
    <row r="39" spans="1:21" s="2" customFormat="1" ht="12.75" customHeight="1" x14ac:dyDescent="0.2">
      <c r="A39" s="3"/>
      <c r="B39" s="1"/>
      <c r="C39" s="51"/>
      <c r="D39" s="3"/>
      <c r="E39" s="3"/>
      <c r="F39" s="1"/>
      <c r="G39" s="51"/>
      <c r="J39" s="1"/>
      <c r="N39" s="1"/>
      <c r="R39" s="1"/>
      <c r="U39" s="3"/>
    </row>
    <row r="40" spans="1:21" s="2" customFormat="1" ht="12.75" customHeight="1" x14ac:dyDescent="0.2">
      <c r="A40" s="3"/>
      <c r="B40" s="1"/>
      <c r="C40" s="51"/>
      <c r="D40" s="3"/>
      <c r="E40" s="3"/>
      <c r="F40" s="1"/>
      <c r="G40" s="51"/>
      <c r="J40" s="1"/>
      <c r="N40" s="1"/>
      <c r="R40" s="1"/>
      <c r="U40" s="3"/>
    </row>
    <row r="41" spans="1:21" s="2" customFormat="1" ht="12.75" customHeight="1" x14ac:dyDescent="0.2">
      <c r="A41" s="3"/>
      <c r="B41" s="1"/>
      <c r="C41" s="51"/>
      <c r="D41" s="3"/>
      <c r="E41" s="3"/>
      <c r="F41" s="1"/>
      <c r="G41" s="51"/>
      <c r="J41" s="1"/>
      <c r="N41" s="1"/>
      <c r="R41" s="1"/>
      <c r="U41" s="3"/>
    </row>
    <row r="42" spans="1:21" s="2" customFormat="1" ht="12.75" customHeight="1" x14ac:dyDescent="0.2">
      <c r="A42" s="3"/>
      <c r="B42" s="1"/>
      <c r="C42" s="51"/>
      <c r="D42" s="3"/>
      <c r="E42" s="3"/>
      <c r="F42" s="1"/>
      <c r="G42" s="51"/>
      <c r="J42" s="1"/>
      <c r="N42" s="1"/>
      <c r="R42" s="1"/>
      <c r="U42" s="3"/>
    </row>
    <row r="43" spans="1:21" s="2" customFormat="1" ht="12.75" customHeight="1" x14ac:dyDescent="0.2">
      <c r="A43" s="45"/>
      <c r="B43" s="1"/>
      <c r="C43" s="36"/>
      <c r="D43" s="3"/>
      <c r="E43" s="3"/>
      <c r="F43" s="1"/>
      <c r="G43" s="51"/>
      <c r="J43" s="1"/>
      <c r="N43" s="1"/>
      <c r="R43" s="1"/>
      <c r="U43" s="3"/>
    </row>
    <row r="44" spans="1:21" s="2" customFormat="1" ht="12.75" customHeight="1" x14ac:dyDescent="0.2">
      <c r="A44" s="3"/>
      <c r="B44" s="1"/>
      <c r="C44" s="51"/>
      <c r="D44" s="3"/>
      <c r="E44" s="3"/>
      <c r="F44" s="1"/>
      <c r="G44" s="51"/>
      <c r="J44" s="1"/>
      <c r="N44" s="1"/>
      <c r="R44" s="1"/>
      <c r="U44" s="3"/>
    </row>
    <row r="45" spans="1:21" s="2" customFormat="1" ht="12.75" customHeight="1" x14ac:dyDescent="0.2">
      <c r="A45" s="3"/>
      <c r="B45" s="1"/>
      <c r="C45" s="51"/>
      <c r="D45" s="3"/>
      <c r="E45" s="3"/>
      <c r="F45" s="1"/>
      <c r="G45" s="51"/>
      <c r="J45" s="1"/>
      <c r="N45" s="1"/>
      <c r="R45" s="1"/>
      <c r="U45" s="3"/>
    </row>
    <row r="46" spans="1:21" s="2" customFormat="1" ht="12.75" customHeight="1" x14ac:dyDescent="0.2">
      <c r="A46" s="48"/>
      <c r="B46" s="43"/>
      <c r="C46" s="47"/>
      <c r="D46" s="53"/>
      <c r="E46" s="48"/>
      <c r="F46" s="1"/>
      <c r="G46" s="51"/>
      <c r="J46" s="1"/>
      <c r="N46" s="1"/>
      <c r="R46" s="1"/>
      <c r="U46" s="3"/>
    </row>
    <row r="47" spans="1:21" s="2" customFormat="1" ht="12.75" customHeight="1" x14ac:dyDescent="0.2">
      <c r="A47" s="3"/>
      <c r="B47" s="1"/>
      <c r="C47" s="51"/>
      <c r="D47" s="3"/>
      <c r="E47" s="3"/>
      <c r="F47" s="1"/>
      <c r="G47" s="51"/>
      <c r="J47" s="1"/>
      <c r="N47" s="1"/>
      <c r="R47" s="1"/>
      <c r="U47" s="3"/>
    </row>
    <row r="48" spans="1:21" s="2" customFormat="1" ht="12.75" customHeight="1" x14ac:dyDescent="0.2">
      <c r="A48" s="3"/>
      <c r="B48" s="1"/>
      <c r="C48" s="51"/>
      <c r="D48" s="3"/>
      <c r="E48" s="3"/>
      <c r="F48" s="1"/>
      <c r="G48" s="51"/>
      <c r="J48" s="1"/>
      <c r="N48" s="1"/>
      <c r="R48" s="1"/>
      <c r="U48" s="3"/>
    </row>
    <row r="49" spans="1:21" s="2" customFormat="1" ht="12.75" customHeight="1" x14ac:dyDescent="0.2">
      <c r="A49" s="3"/>
      <c r="B49" s="1"/>
      <c r="C49" s="51"/>
      <c r="D49" s="3"/>
      <c r="E49" s="3"/>
      <c r="F49" s="1"/>
      <c r="G49" s="51"/>
      <c r="J49" s="1"/>
      <c r="N49" s="1"/>
      <c r="R49" s="1"/>
      <c r="U49" s="3"/>
    </row>
    <row r="50" spans="1:21" s="2" customFormat="1" ht="12.75" customHeight="1" x14ac:dyDescent="0.2">
      <c r="A50" s="3"/>
      <c r="B50" s="1"/>
      <c r="C50" s="39"/>
      <c r="D50" s="3"/>
      <c r="E50" s="3"/>
      <c r="F50" s="1"/>
      <c r="G50" s="51"/>
      <c r="J50" s="1"/>
      <c r="N50" s="1"/>
      <c r="R50" s="1"/>
      <c r="U50" s="3"/>
    </row>
    <row r="51" spans="1:21" s="2" customFormat="1" ht="12.75" customHeight="1" x14ac:dyDescent="0.2">
      <c r="A51" s="3"/>
      <c r="B51" s="1"/>
      <c r="C51" s="39"/>
      <c r="D51" s="3"/>
      <c r="E51" s="3"/>
      <c r="F51" s="1"/>
      <c r="G51" s="51"/>
      <c r="J51" s="1"/>
      <c r="N51" s="1"/>
      <c r="R51" s="1"/>
      <c r="U51" s="3"/>
    </row>
  </sheetData>
  <dataValidations count="1">
    <dataValidation type="list" allowBlank="1" showInputMessage="1" showErrorMessage="1" sqref="B2">
      <formula1>$U$3:$U$8</formula1>
    </dataValidation>
  </dataValidations>
  <pageMargins left="0.7" right="0.7" top="0.75" bottom="0.75" header="0.3" footer="0.3"/>
  <pageSetup orientation="portrait" r:id="rId1"/>
  <ignoredErrors>
    <ignoredError sqref="B11"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Load</vt:lpstr>
      <vt:lpstr>Projectile</vt:lpstr>
      <vt:lpstr>Common_Projectiles</vt:lpstr>
      <vt:lpstr>Truncated_Projectiles</vt:lpstr>
      <vt:lpstr>Case</vt:lpstr>
      <vt:lpstr>Cartridges</vt:lpstr>
      <vt:lpstr>Barrel</vt:lpstr>
      <vt:lpstr>Action</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Nicolin</dc:creator>
  <cp:lastModifiedBy>Master</cp:lastModifiedBy>
  <dcterms:created xsi:type="dcterms:W3CDTF">2009-11-23T19:57:46Z</dcterms:created>
  <dcterms:modified xsi:type="dcterms:W3CDTF">2015-04-05T21:50:28Z</dcterms:modified>
</cp:coreProperties>
</file>